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zPawn\Downloads\"/>
    </mc:Choice>
  </mc:AlternateContent>
  <xr:revisionPtr revIDLastSave="0" documentId="13_ncr:1_{24264AB7-3081-4D04-A110-1FABBFD88E42}" xr6:coauthVersionLast="47" xr6:coauthVersionMax="47" xr10:uidLastSave="{00000000-0000-0000-0000-000000000000}"/>
  <bookViews>
    <workbookView xWindow="-110" yWindow="-110" windowWidth="19420" windowHeight="10420" xr2:uid="{C29D6453-079D-468D-8605-C5FC7A077C1F}"/>
  </bookViews>
  <sheets>
    <sheet name="Calculator" sheetId="4" r:id="rId1"/>
    <sheet name="Calculator (2)" sheetId="3" state="hidden" r:id="rId2"/>
    <sheet name="Calculator (1)" sheetId="2" state="hidden" r:id="rId3"/>
    <sheet name="Undergraduate" sheetId="5" state="hidden" r:id="rId4"/>
    <sheet name="Graduate"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 l="1" a="1"/>
  <c r="B10" i="4" s="1"/>
  <c r="B11" i="4"/>
  <c r="B37" i="6" l="1"/>
  <c r="B35" i="6"/>
  <c r="M8" i="6" s="1"/>
  <c r="E32" i="6"/>
  <c r="E31" i="6"/>
  <c r="E30" i="6"/>
  <c r="O18" i="6" s="1"/>
  <c r="O29" i="6"/>
  <c r="P29" i="6" s="1"/>
  <c r="Q29" i="6" s="1"/>
  <c r="N29" i="6"/>
  <c r="M29" i="6"/>
  <c r="J29" i="6"/>
  <c r="K29" i="6" s="1"/>
  <c r="L29" i="6" s="1"/>
  <c r="I29" i="6"/>
  <c r="H29" i="6"/>
  <c r="Q28" i="6"/>
  <c r="P28" i="6"/>
  <c r="O28" i="6"/>
  <c r="N28" i="6"/>
  <c r="M28" i="6"/>
  <c r="K28" i="6"/>
  <c r="L28" i="6" s="1"/>
  <c r="J28" i="6"/>
  <c r="I28" i="6"/>
  <c r="H28" i="6"/>
  <c r="P27" i="6"/>
  <c r="M27" i="6"/>
  <c r="K27" i="6"/>
  <c r="N26" i="6"/>
  <c r="M26" i="6"/>
  <c r="I26" i="6"/>
  <c r="H26" i="6"/>
  <c r="E26" i="6"/>
  <c r="L25" i="6"/>
  <c r="L31" i="6" s="1"/>
  <c r="I43" i="6" s="1"/>
  <c r="J25" i="6"/>
  <c r="J31" i="6" s="1"/>
  <c r="I41" i="6" s="1"/>
  <c r="E25" i="6"/>
  <c r="K17" i="6" s="1"/>
  <c r="L17" i="6" s="1"/>
  <c r="E24" i="6"/>
  <c r="E20" i="6"/>
  <c r="B20" i="6"/>
  <c r="L27" i="6" s="1"/>
  <c r="M19" i="6"/>
  <c r="H19" i="6"/>
  <c r="E19" i="6"/>
  <c r="M16" i="6" s="1"/>
  <c r="B19" i="6"/>
  <c r="P18" i="6"/>
  <c r="Q18" i="6" s="1"/>
  <c r="N18" i="6"/>
  <c r="I18" i="6"/>
  <c r="H18" i="6"/>
  <c r="E18" i="6"/>
  <c r="B18" i="6"/>
  <c r="J27" i="6" s="1"/>
  <c r="O17" i="6"/>
  <c r="M17" i="6"/>
  <c r="J17" i="6"/>
  <c r="Q16" i="6"/>
  <c r="O16" i="6"/>
  <c r="N16" i="6"/>
  <c r="L16" i="6"/>
  <c r="I16" i="6"/>
  <c r="M15" i="6"/>
  <c r="H15" i="6"/>
  <c r="Q14" i="6"/>
  <c r="P14" i="6"/>
  <c r="O14" i="6"/>
  <c r="N14" i="6"/>
  <c r="M14" i="6"/>
  <c r="L14" i="6"/>
  <c r="K14" i="6"/>
  <c r="J14" i="6"/>
  <c r="I14" i="6"/>
  <c r="H14" i="6"/>
  <c r="E14" i="6"/>
  <c r="E13" i="6"/>
  <c r="E12" i="6"/>
  <c r="I15" i="6" s="1"/>
  <c r="B9" i="6"/>
  <c r="Q25" i="6" s="1"/>
  <c r="B8" i="6"/>
  <c r="P25" i="6" s="1"/>
  <c r="O7" i="6"/>
  <c r="P7" i="6" s="1"/>
  <c r="Q7" i="6" s="1"/>
  <c r="N7" i="6"/>
  <c r="M7" i="6"/>
  <c r="J7" i="6"/>
  <c r="K7" i="6" s="1"/>
  <c r="L7" i="6" s="1"/>
  <c r="I7" i="6"/>
  <c r="H7" i="6"/>
  <c r="B7" i="6"/>
  <c r="M25" i="6" s="1"/>
  <c r="P6" i="6"/>
  <c r="Q6" i="6" s="1"/>
  <c r="O6" i="6"/>
  <c r="N6" i="6"/>
  <c r="M6" i="6"/>
  <c r="J6" i="6"/>
  <c r="K6" i="6" s="1"/>
  <c r="L6" i="6" s="1"/>
  <c r="I6" i="6"/>
  <c r="H6" i="6"/>
  <c r="B6" i="6"/>
  <c r="P5" i="6"/>
  <c r="M5" i="6"/>
  <c r="K5" i="6"/>
  <c r="B5" i="6"/>
  <c r="K25" i="6" s="1"/>
  <c r="K31" i="6" s="1"/>
  <c r="I42" i="6" s="1"/>
  <c r="N4" i="6"/>
  <c r="M4" i="6"/>
  <c r="I4" i="6"/>
  <c r="H4" i="6"/>
  <c r="B4" i="6"/>
  <c r="I25" i="6" s="1"/>
  <c r="P3" i="6"/>
  <c r="M3" i="6"/>
  <c r="M9" i="6" s="1"/>
  <c r="J44" i="6" s="1"/>
  <c r="L3" i="6"/>
  <c r="K3" i="6"/>
  <c r="K9" i="6" s="1"/>
  <c r="J42" i="6" s="1"/>
  <c r="J3" i="6"/>
  <c r="I3" i="6"/>
  <c r="H3" i="6"/>
  <c r="M30" i="5"/>
  <c r="M29" i="5"/>
  <c r="M28" i="5"/>
  <c r="M27" i="5"/>
  <c r="M25" i="5"/>
  <c r="M26" i="5"/>
  <c r="J29" i="5"/>
  <c r="J28" i="5"/>
  <c r="I29" i="5"/>
  <c r="I28" i="5"/>
  <c r="I26" i="5"/>
  <c r="H29" i="5"/>
  <c r="H28" i="5"/>
  <c r="H26" i="5"/>
  <c r="H30" i="5"/>
  <c r="H14" i="5"/>
  <c r="H15" i="5"/>
  <c r="H16" i="5"/>
  <c r="H17" i="5"/>
  <c r="H18" i="5"/>
  <c r="H19" i="5"/>
  <c r="Q18" i="5"/>
  <c r="Q3" i="5"/>
  <c r="Q7" i="5"/>
  <c r="Q6" i="5"/>
  <c r="Q5" i="5"/>
  <c r="P7" i="5"/>
  <c r="P6" i="5"/>
  <c r="P5" i="5"/>
  <c r="P3" i="5"/>
  <c r="O7" i="5"/>
  <c r="O6" i="5"/>
  <c r="O5" i="5"/>
  <c r="O3" i="5"/>
  <c r="N7" i="5"/>
  <c r="N6" i="5"/>
  <c r="N5" i="5"/>
  <c r="N4" i="5"/>
  <c r="N3" i="5"/>
  <c r="M3" i="5"/>
  <c r="M4" i="5"/>
  <c r="M5" i="5"/>
  <c r="M6" i="5"/>
  <c r="M7" i="5"/>
  <c r="M8" i="5"/>
  <c r="L7" i="5"/>
  <c r="L6" i="5"/>
  <c r="L5" i="5"/>
  <c r="K7" i="5"/>
  <c r="K6" i="5"/>
  <c r="K5" i="5"/>
  <c r="K27" i="5"/>
  <c r="K29" i="5"/>
  <c r="K28" i="5"/>
  <c r="E20" i="5"/>
  <c r="E19" i="5"/>
  <c r="E18" i="5"/>
  <c r="B37" i="5"/>
  <c r="B35" i="5"/>
  <c r="B20" i="5"/>
  <c r="B19" i="5"/>
  <c r="B18" i="5"/>
  <c r="P31" i="6" l="1"/>
  <c r="I47" i="6" s="1"/>
  <c r="P9" i="6"/>
  <c r="J47" i="6" s="1"/>
  <c r="M31" i="6"/>
  <c r="I44" i="6" s="1"/>
  <c r="O20" i="6"/>
  <c r="K46" i="6" s="1"/>
  <c r="O3" i="6"/>
  <c r="O5" i="6"/>
  <c r="H16" i="6"/>
  <c r="H20" i="6" s="1"/>
  <c r="K39" i="6" s="1"/>
  <c r="P16" i="6"/>
  <c r="N17" i="6"/>
  <c r="J18" i="6"/>
  <c r="N25" i="6"/>
  <c r="O27" i="6"/>
  <c r="H30" i="6"/>
  <c r="N27" i="6"/>
  <c r="H5" i="6"/>
  <c r="H9" i="6" s="1"/>
  <c r="J39" i="6" s="1"/>
  <c r="K18" i="6"/>
  <c r="L18" i="6" s="1"/>
  <c r="L20" i="6" s="1"/>
  <c r="K43" i="6" s="1"/>
  <c r="O25" i="6"/>
  <c r="H27" i="6"/>
  <c r="M30" i="6"/>
  <c r="N3" i="6"/>
  <c r="N5" i="6"/>
  <c r="N15" i="6"/>
  <c r="N20" i="6" s="1"/>
  <c r="K45" i="6" s="1"/>
  <c r="Q3" i="6"/>
  <c r="Q9" i="6" s="1"/>
  <c r="J48" i="6" s="1"/>
  <c r="I5" i="6"/>
  <c r="I9" i="6" s="1"/>
  <c r="J40" i="6" s="1"/>
  <c r="Q5" i="6"/>
  <c r="H8" i="6"/>
  <c r="J16" i="6"/>
  <c r="J20" i="6" s="1"/>
  <c r="K41" i="6" s="1"/>
  <c r="H17" i="6"/>
  <c r="P17" i="6"/>
  <c r="Q17" i="6" s="1"/>
  <c r="Q20" i="6" s="1"/>
  <c r="K48" i="6" s="1"/>
  <c r="H25" i="6"/>
  <c r="H31" i="6" s="1"/>
  <c r="I39" i="6" s="1"/>
  <c r="I27" i="6"/>
  <c r="I31" i="6" s="1"/>
  <c r="I40" i="6" s="1"/>
  <c r="Q27" i="6"/>
  <c r="Q31" i="6" s="1"/>
  <c r="I48" i="6" s="1"/>
  <c r="J5" i="6"/>
  <c r="J9" i="6" s="1"/>
  <c r="J41" i="6" s="1"/>
  <c r="K16" i="6"/>
  <c r="K20" i="6" s="1"/>
  <c r="K42" i="6" s="1"/>
  <c r="I17" i="6"/>
  <c r="I20" i="6" s="1"/>
  <c r="K40" i="6" s="1"/>
  <c r="M18" i="6"/>
  <c r="M20" i="6" s="1"/>
  <c r="K44" i="6" s="1"/>
  <c r="L5" i="6"/>
  <c r="L9" i="6" s="1"/>
  <c r="J43" i="6" s="1"/>
  <c r="N9" i="6" l="1"/>
  <c r="J45" i="6" s="1"/>
  <c r="N31" i="6"/>
  <c r="I45" i="6" s="1"/>
  <c r="O31" i="6"/>
  <c r="I46" i="6" s="1"/>
  <c r="O9" i="6"/>
  <c r="J46" i="6" s="1"/>
  <c r="P20" i="6"/>
  <c r="K47" i="6" s="1"/>
  <c r="B16" i="4" l="1"/>
  <c r="B12" i="4"/>
  <c r="B11" i="3" a="1"/>
  <c r="B11" i="3" s="1"/>
  <c r="B9" i="4"/>
  <c r="B38" i="5" l="1"/>
  <c r="E32" i="5"/>
  <c r="E31" i="5"/>
  <c r="J18" i="5" s="1"/>
  <c r="E30" i="5"/>
  <c r="P18" i="5" s="1"/>
  <c r="O29" i="5"/>
  <c r="P29" i="5" s="1"/>
  <c r="Q29" i="5" s="1"/>
  <c r="N29" i="5"/>
  <c r="L29" i="5"/>
  <c r="O28" i="5"/>
  <c r="P28" i="5" s="1"/>
  <c r="Q28" i="5" s="1"/>
  <c r="N28" i="5"/>
  <c r="L28" i="5"/>
  <c r="O27" i="5"/>
  <c r="J27" i="5"/>
  <c r="H27" i="5"/>
  <c r="N26" i="5"/>
  <c r="E26" i="5"/>
  <c r="Q25" i="5"/>
  <c r="O25" i="5"/>
  <c r="O31" i="5" s="1"/>
  <c r="I47" i="5" s="1"/>
  <c r="N25" i="5"/>
  <c r="E25" i="5"/>
  <c r="E24" i="5"/>
  <c r="M17" i="5" s="1"/>
  <c r="L27" i="5"/>
  <c r="M19" i="5"/>
  <c r="O16" i="5"/>
  <c r="K18" i="5"/>
  <c r="L18" i="5" s="1"/>
  <c r="I18" i="5"/>
  <c r="N27" i="5"/>
  <c r="N17" i="5"/>
  <c r="Q16" i="5"/>
  <c r="P16" i="5"/>
  <c r="L16" i="5"/>
  <c r="K16" i="5"/>
  <c r="I16" i="5"/>
  <c r="Q14" i="5"/>
  <c r="P14" i="5"/>
  <c r="O14" i="5"/>
  <c r="N14" i="5"/>
  <c r="M14" i="5"/>
  <c r="L14" i="5"/>
  <c r="K14" i="5"/>
  <c r="J14" i="5"/>
  <c r="I14" i="5"/>
  <c r="E14" i="5"/>
  <c r="E13" i="5"/>
  <c r="E12" i="5"/>
  <c r="B9" i="5"/>
  <c r="H8" i="5"/>
  <c r="B8" i="5"/>
  <c r="P25" i="5" s="1"/>
  <c r="J7" i="5"/>
  <c r="I7" i="5"/>
  <c r="H7" i="5"/>
  <c r="B7" i="5"/>
  <c r="J6" i="5"/>
  <c r="I6" i="5"/>
  <c r="H6" i="5"/>
  <c r="B6" i="5"/>
  <c r="L25" i="5" s="1"/>
  <c r="J5" i="5"/>
  <c r="B13" i="4" s="1"/>
  <c r="I5" i="5"/>
  <c r="H5" i="5"/>
  <c r="B5" i="5"/>
  <c r="K3" i="5" s="1"/>
  <c r="I4" i="5"/>
  <c r="H4" i="5"/>
  <c r="B4" i="5"/>
  <c r="I25" i="5" s="1"/>
  <c r="O9" i="5"/>
  <c r="J47" i="5" s="1"/>
  <c r="J3" i="5"/>
  <c r="B15" i="4" l="1"/>
  <c r="M18" i="5"/>
  <c r="N18" i="5"/>
  <c r="O18" i="5"/>
  <c r="B14" i="4"/>
  <c r="J9" i="5"/>
  <c r="J42" i="5" s="1"/>
  <c r="N31" i="5"/>
  <c r="I46" i="5" s="1"/>
  <c r="N15" i="5"/>
  <c r="I15" i="5"/>
  <c r="P31" i="5"/>
  <c r="I48" i="5" s="1"/>
  <c r="L31" i="5"/>
  <c r="I44" i="5" s="1"/>
  <c r="K9" i="5"/>
  <c r="J43" i="5" s="1"/>
  <c r="Q9" i="5"/>
  <c r="J49" i="5" s="1"/>
  <c r="H3" i="5"/>
  <c r="H9" i="5" s="1"/>
  <c r="J40" i="5" s="1"/>
  <c r="O17" i="5"/>
  <c r="O20" i="5" s="1"/>
  <c r="K47" i="5" s="1"/>
  <c r="P9" i="5"/>
  <c r="J48" i="5" s="1"/>
  <c r="P27" i="5"/>
  <c r="I3" i="5"/>
  <c r="I9" i="5" s="1"/>
  <c r="J41" i="5" s="1"/>
  <c r="J16" i="5"/>
  <c r="J20" i="5" s="1"/>
  <c r="K42" i="5" s="1"/>
  <c r="P17" i="5"/>
  <c r="Q17" i="5" s="1"/>
  <c r="Q20" i="5" s="1"/>
  <c r="K49" i="5" s="1"/>
  <c r="H25" i="5"/>
  <c r="H31" i="5" s="1"/>
  <c r="I40" i="5" s="1"/>
  <c r="I27" i="5"/>
  <c r="I31" i="5" s="1"/>
  <c r="I41" i="5" s="1"/>
  <c r="Q27" i="5"/>
  <c r="Q31" i="5" s="1"/>
  <c r="I49" i="5" s="1"/>
  <c r="I17" i="5"/>
  <c r="I20" i="5" s="1"/>
  <c r="K41" i="5" s="1"/>
  <c r="J17" i="5"/>
  <c r="J25" i="5"/>
  <c r="J31" i="5" s="1"/>
  <c r="I42" i="5" s="1"/>
  <c r="M16" i="5"/>
  <c r="K17" i="5"/>
  <c r="L17" i="5" s="1"/>
  <c r="L20" i="5" s="1"/>
  <c r="K44" i="5" s="1"/>
  <c r="K25" i="5"/>
  <c r="K31" i="5" s="1"/>
  <c r="I43" i="5" s="1"/>
  <c r="L3" i="5"/>
  <c r="M9" i="5"/>
  <c r="J45" i="5" s="1"/>
  <c r="M15" i="5"/>
  <c r="M20" i="5" s="1"/>
  <c r="K45" i="5" s="1"/>
  <c r="N16" i="5"/>
  <c r="N20" i="5" s="1"/>
  <c r="K46" i="5" s="1"/>
  <c r="M31" i="5"/>
  <c r="I45" i="5" s="1"/>
  <c r="N9" i="5"/>
  <c r="J46" i="5" s="1"/>
  <c r="B17" i="4" l="1"/>
  <c r="L9" i="5"/>
  <c r="J44" i="5" s="1"/>
  <c r="H20" i="5"/>
  <c r="K40" i="5" s="1"/>
  <c r="P20" i="5"/>
  <c r="K48" i="5" s="1"/>
  <c r="K20" i="5"/>
  <c r="K43" i="5" s="1"/>
  <c r="T7" i="3" l="1"/>
  <c r="T6" i="3"/>
  <c r="T5" i="3"/>
  <c r="T4" i="3"/>
  <c r="T3" i="3"/>
  <c r="T2" i="3"/>
  <c r="T1" i="3"/>
  <c r="S7" i="2"/>
  <c r="S6" i="2"/>
  <c r="S5" i="2"/>
  <c r="S4" i="2"/>
  <c r="S3" i="2"/>
  <c r="S2" i="2"/>
  <c r="S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<sst xmlns="http://schemas.openxmlformats.org/spreadsheetml/2006/main" count="491" uniqueCount="109">
  <si>
    <t>Undergraduate</t>
  </si>
  <si>
    <t>Tuition and Fees</t>
  </si>
  <si>
    <t>Living Expenses</t>
  </si>
  <si>
    <t>Books and Supplies</t>
  </si>
  <si>
    <t>Transportation Cost</t>
  </si>
  <si>
    <t>Miscellaneous</t>
  </si>
  <si>
    <t>Medical Insurance</t>
  </si>
  <si>
    <t>Total</t>
  </si>
  <si>
    <t>Graduate</t>
  </si>
  <si>
    <t>Full-Time Overseas</t>
  </si>
  <si>
    <t>Full-Time Mexican</t>
  </si>
  <si>
    <t>Full-Time Border Commuter</t>
  </si>
  <si>
    <t>Border Commuter (6 Hrs)</t>
  </si>
  <si>
    <t>Border Commuter (3 Hrs)</t>
  </si>
  <si>
    <t>Full-Time Overseas**</t>
  </si>
  <si>
    <t>Full-Time Mexican*</t>
  </si>
  <si>
    <t>Full-Time Border Commuter*</t>
  </si>
  <si>
    <t>Border Commuter (6 Hrs)*</t>
  </si>
  <si>
    <t>Border Commuter (3 Hrs)*</t>
  </si>
  <si>
    <t>Classification</t>
  </si>
  <si>
    <t>Status</t>
  </si>
  <si>
    <t>Semester</t>
  </si>
  <si>
    <t>Fall</t>
  </si>
  <si>
    <t>Spring</t>
  </si>
  <si>
    <t>Summer</t>
  </si>
  <si>
    <t>Non Resident 12 hrs</t>
  </si>
  <si>
    <t>Non Resident 6 hrs</t>
  </si>
  <si>
    <t>Non Resident 3 hrs</t>
  </si>
  <si>
    <t>Resident 12 hrs</t>
  </si>
  <si>
    <t>Resident 6 hrs</t>
  </si>
  <si>
    <t>Resident 3 hrs</t>
  </si>
  <si>
    <t>Residency</t>
  </si>
  <si>
    <t>Resident</t>
  </si>
  <si>
    <t>Non-Resident</t>
  </si>
  <si>
    <t>Enrolled Hours</t>
  </si>
  <si>
    <t>12 hrs</t>
  </si>
  <si>
    <t>6 hrs</t>
  </si>
  <si>
    <t>3 hrs</t>
  </si>
  <si>
    <t>On Campus</t>
  </si>
  <si>
    <t>Off Campus (independent)</t>
  </si>
  <si>
    <t>Off Campus (with family)</t>
  </si>
  <si>
    <t>Tuition</t>
  </si>
  <si>
    <t>Hours</t>
  </si>
  <si>
    <t>Graduate Status</t>
  </si>
  <si>
    <t>International Status</t>
  </si>
  <si>
    <t>Fall &amp; Spring</t>
  </si>
  <si>
    <t>Intl Students living on-campus / off-campus independently (Fall &amp; Spring)</t>
  </si>
  <si>
    <t>Tuition &amp; Fees</t>
  </si>
  <si>
    <t xml:space="preserve">Tuition &amp; Fees </t>
  </si>
  <si>
    <r>
      <t xml:space="preserve">Note: Undergraduate Cost of Attendance for </t>
    </r>
    <r>
      <rPr>
        <u/>
        <sz val="9"/>
        <color theme="1"/>
        <rFont val="Calibri"/>
        <family val="2"/>
        <scheme val="minor"/>
      </rPr>
      <t>Full Time Enrollment</t>
    </r>
    <r>
      <rPr>
        <sz val="9"/>
        <color theme="1"/>
        <rFont val="Calibri"/>
        <family val="2"/>
        <scheme val="minor"/>
      </rPr>
      <t xml:space="preserve"> is based on enrollment of </t>
    </r>
    <r>
      <rPr>
        <u/>
        <sz val="9"/>
        <color rgb="FFFF0000"/>
        <rFont val="Calibri"/>
        <family val="2"/>
        <scheme val="minor"/>
      </rPr>
      <t>12 credit hours</t>
    </r>
    <r>
      <rPr>
        <u/>
        <sz val="9"/>
        <color theme="1"/>
        <rFont val="Calibri"/>
        <family val="2"/>
        <scheme val="minor"/>
      </rPr>
      <t xml:space="preserve"> </t>
    </r>
    <r>
      <rPr>
        <sz val="9"/>
        <color theme="1"/>
        <rFont val="Calibri"/>
        <family val="2"/>
        <scheme val="minor"/>
      </rPr>
      <t>per semester for college start academic year 2021-2022</t>
    </r>
  </si>
  <si>
    <r>
      <t xml:space="preserve">Living Expenses </t>
    </r>
    <r>
      <rPr>
        <b/>
        <sz val="11"/>
        <color rgb="FFFFFF00"/>
        <rFont val="Calibri"/>
        <family val="2"/>
        <scheme val="minor"/>
      </rPr>
      <t>(Estimated)</t>
    </r>
  </si>
  <si>
    <t xml:space="preserve">On Campus </t>
  </si>
  <si>
    <t>Intl Students living on-campus / off-campus independently (Summer)</t>
  </si>
  <si>
    <t xml:space="preserve">Note: no difference b/w resident and nonresident </t>
  </si>
  <si>
    <t>Books &amp; Supplies</t>
  </si>
  <si>
    <r>
      <t xml:space="preserve">Books &amp; Supplies </t>
    </r>
    <r>
      <rPr>
        <b/>
        <sz val="11"/>
        <color rgb="FFFFFF00"/>
        <rFont val="Calibri"/>
        <family val="2"/>
        <scheme val="minor"/>
      </rPr>
      <t>(Estimated)</t>
    </r>
  </si>
  <si>
    <t>Note: no difference b/w resident and nonresident</t>
  </si>
  <si>
    <r>
      <t xml:space="preserve">Note: Undergraduate Cost of Attendance for </t>
    </r>
    <r>
      <rPr>
        <u/>
        <sz val="9"/>
        <color theme="1"/>
        <rFont val="Calibri"/>
        <family val="2"/>
        <scheme val="minor"/>
      </rPr>
      <t>Full Time Enrollment</t>
    </r>
    <r>
      <rPr>
        <sz val="9"/>
        <color theme="1"/>
        <rFont val="Calibri"/>
        <family val="2"/>
        <scheme val="minor"/>
      </rPr>
      <t xml:space="preserve"> is based on enrollment of </t>
    </r>
    <r>
      <rPr>
        <u/>
        <sz val="9"/>
        <color rgb="FFFF0000"/>
        <rFont val="Calibri"/>
        <family val="2"/>
        <scheme val="minor"/>
      </rPr>
      <t>6 credit hours</t>
    </r>
    <r>
      <rPr>
        <sz val="9"/>
        <color theme="1"/>
        <rFont val="Calibri"/>
        <family val="2"/>
        <scheme val="minor"/>
      </rPr>
      <t xml:space="preserve"> per semester for college start academic year 2021-2022</t>
    </r>
  </si>
  <si>
    <t>Transportation</t>
  </si>
  <si>
    <r>
      <t>Transportation</t>
    </r>
    <r>
      <rPr>
        <b/>
        <sz val="11"/>
        <color rgb="FFFFFF00"/>
        <rFont val="Calibri"/>
        <family val="2"/>
        <scheme val="minor"/>
      </rPr>
      <t xml:space="preserve"> (Estimated)</t>
    </r>
  </si>
  <si>
    <t>Intl Students living off-campus (with family) (Fall &amp; Spring)</t>
  </si>
  <si>
    <r>
      <t xml:space="preserve">Miscellaneous </t>
    </r>
    <r>
      <rPr>
        <b/>
        <sz val="11"/>
        <color rgb="FFFFFF00"/>
        <rFont val="Calibri"/>
        <family val="2"/>
        <scheme val="minor"/>
      </rPr>
      <t>(Estimated)</t>
    </r>
  </si>
  <si>
    <t>Health Insurance</t>
  </si>
  <si>
    <t>Visa Type</t>
  </si>
  <si>
    <r>
      <t xml:space="preserve">Living </t>
    </r>
    <r>
      <rPr>
        <sz val="11"/>
        <color theme="1"/>
        <rFont val="Calibri"/>
        <family val="2"/>
        <scheme val="minor"/>
      </rPr>
      <t>W</t>
    </r>
    <r>
      <rPr>
        <b/>
        <sz val="11"/>
        <color theme="1"/>
        <rFont val="Calibri"/>
        <family val="2"/>
        <scheme val="minor"/>
      </rPr>
      <t>ith Family</t>
    </r>
  </si>
  <si>
    <t>Living On-Campus/Off-Campus(Independently)</t>
  </si>
  <si>
    <t>Resident Tuition</t>
  </si>
  <si>
    <t>F-1</t>
  </si>
  <si>
    <t>No</t>
  </si>
  <si>
    <t>Yes</t>
  </si>
  <si>
    <t>**Overseas In-state Tuition</t>
  </si>
  <si>
    <t>* Mexican Citizens In-state Tuition</t>
  </si>
  <si>
    <t>Non Resident 9 hrs</t>
  </si>
  <si>
    <t>Resident 9 hrs</t>
  </si>
  <si>
    <t>9 hrs</t>
  </si>
  <si>
    <t>HOURS</t>
  </si>
  <si>
    <t>SEMESTER</t>
  </si>
  <si>
    <t>TUITION AND FEES</t>
  </si>
  <si>
    <t>LIVING EXPENSES</t>
  </si>
  <si>
    <t>BOOKS AND SUPPLIES</t>
  </si>
  <si>
    <t>TRANSPORTATION COSTS</t>
  </si>
  <si>
    <t>MISCELLANEOUS</t>
  </si>
  <si>
    <t>MEDICAL INSURANCE</t>
  </si>
  <si>
    <t>LIVING STATUS</t>
  </si>
  <si>
    <t>TOTAL</t>
  </si>
  <si>
    <t>Fall-Spring</t>
  </si>
  <si>
    <t>Full-Time Overseas: An international student who was born outside the United States and Mexico and is temporarily residing in the United States. Eligible to work on campus during their academic studies with prior approval.</t>
  </si>
  <si>
    <t>Full-Time Mexican:  An international student who was born in Mexico and is temporarily residing in the United States. Eligible to work on campus during their academic studies with prior approval.</t>
  </si>
  <si>
    <t>Full-Time Overseas**: IN-STATE TUITION: An international student who was born outside the United States and Mexico and is temporarily residing in the United States. Eligible to work on campus during their academic studies with prior approval.</t>
  </si>
  <si>
    <t>Full-Time Mexican**:  IN-STATE TUITION: An international student who was born in Mexico and is temporarily residing in the United States. Eligible to work on campus during their academic studies with prior approval.</t>
  </si>
  <si>
    <t>IN-STATE TUITION</t>
  </si>
  <si>
    <t>The amounts below for books &amp; supplies, room &amp; board, transportation, and miscellaneous personal expenses are averages and will vary widely depending on the circumstances and needs of each student (e.g. place of residence, miles driven throughout the academic year, personal expenses, eating in a campus residence hall or cooking for oneself, etc.).</t>
  </si>
  <si>
    <t>Texas resident tuition rate may be granted to international students who have an assistantship or who are awarded a competitive scholarship of over $1000.</t>
  </si>
  <si>
    <t>Additional tuition will be charged for upper division undergraduate and graduate courses in certain disciplines</t>
  </si>
  <si>
    <t>Tuition and fees for undergraduate international students vary depending on your area of study. These cost estimates are based on full-time enrollment (12 or more semester hours) for the fall and spring semesters.</t>
  </si>
  <si>
    <t>ACADEMIC LEVEL</t>
  </si>
  <si>
    <t>CLASSIFICATION</t>
  </si>
  <si>
    <t xml:space="preserve">When requesting the Form I-20, students must provide proof of sufficient funds to cover the estimated expenses for their first academic year of study as outlined below. Additional funding will also be necessary for students planning to enroll in summer courses. </t>
  </si>
  <si>
    <t>Estimates are subject to change without notice. Estimates do not reflect cost of dependents.</t>
  </si>
  <si>
    <t>Amounts are based on 12 credit hours per semester for Undergraduate and 9 credit hours for Graduates</t>
  </si>
  <si>
    <t>Full-Time Mexican~*</t>
  </si>
  <si>
    <t>Full-Time Overseas~*~*</t>
  </si>
  <si>
    <t>Full-Time Border Commuter~*</t>
  </si>
  <si>
    <t>Border Commuter (6 Hrs)~*</t>
  </si>
  <si>
    <t>Border Commuter (3 Hrs)~*</t>
  </si>
  <si>
    <r>
      <t xml:space="preserve">Tuition &amp; Fees </t>
    </r>
    <r>
      <rPr>
        <b/>
        <sz val="11"/>
        <color rgb="FFFFFF00"/>
        <rFont val="Calibri"/>
        <family val="2"/>
        <scheme val="minor"/>
      </rPr>
      <t>(Estimated)</t>
    </r>
  </si>
  <si>
    <r>
      <t>Note: Graduate Cost of Attendance for</t>
    </r>
    <r>
      <rPr>
        <u/>
        <sz val="9"/>
        <color theme="1"/>
        <rFont val="Calibri"/>
        <family val="2"/>
        <scheme val="minor"/>
      </rPr>
      <t xml:space="preserve"> Full Time Enrollment</t>
    </r>
    <r>
      <rPr>
        <sz val="9"/>
        <color theme="1"/>
        <rFont val="Calibri"/>
        <family val="2"/>
        <scheme val="minor"/>
      </rPr>
      <t xml:space="preserve"> is based on enrollment of </t>
    </r>
    <r>
      <rPr>
        <u/>
        <sz val="9"/>
        <color rgb="FFFF0000"/>
        <rFont val="Calibri"/>
        <family val="2"/>
        <scheme val="minor"/>
      </rPr>
      <t>9 credit hours</t>
    </r>
    <r>
      <rPr>
        <sz val="9"/>
        <color theme="1"/>
        <rFont val="Calibri"/>
        <family val="2"/>
        <scheme val="minor"/>
      </rPr>
      <t xml:space="preserve"> per semester for college start academic year 2022-2023</t>
    </r>
  </si>
  <si>
    <r>
      <t xml:space="preserve">Note: Graduate Cost of Attendance for </t>
    </r>
    <r>
      <rPr>
        <u/>
        <sz val="9"/>
        <color theme="1"/>
        <rFont val="Calibri"/>
        <family val="2"/>
        <scheme val="minor"/>
      </rPr>
      <t>Full Time Enrollment</t>
    </r>
    <r>
      <rPr>
        <sz val="9"/>
        <color theme="1"/>
        <rFont val="Calibri"/>
        <family val="2"/>
        <scheme val="minor"/>
      </rPr>
      <t xml:space="preserve"> is based on enrollment of </t>
    </r>
    <r>
      <rPr>
        <u/>
        <sz val="9"/>
        <color rgb="FFFF0000"/>
        <rFont val="Calibri"/>
        <family val="2"/>
        <scheme val="minor"/>
      </rPr>
      <t xml:space="preserve">6 credit hours </t>
    </r>
    <r>
      <rPr>
        <sz val="9"/>
        <color theme="1"/>
        <rFont val="Calibri"/>
        <family val="2"/>
        <scheme val="minor"/>
      </rPr>
      <t>per semester for college start academic year 2022-2023</t>
    </r>
  </si>
  <si>
    <t>2022-2023 ESTIMATED COST OF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</si>
</sst>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9"/>
      <color theme="1"/>
      <name val="Calibri"/>
      <family val="2"/>
      <scheme val="minor"/>
    </font>
    <font>
      <u/>
      <sz val="9"/>
      <color theme="1"/>
      <name val="Calibri"/>
      <family val="2"/>
      <scheme val="minor"/>
    </font>
    <font>
      <u/>
      <sz val="9"/>
      <color rgb="FFFF0000"/>
      <name val="Calibri"/>
      <family val="2"/>
      <scheme val="minor"/>
    </font>
    <font>
      <b/>
      <sz val="11"/>
      <color rgb="FFFFFF00"/>
      <name val="Calibri"/>
      <family val="2"/>
      <scheme val="minor"/>
    </font>
    <font>
      <sz val="11"/>
      <color rgb="FF222222"/>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sz val="8"/>
      <color theme="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00"/>
        <bgColor indexed="64"/>
      </patternFill>
    </fill>
  </fills>
  <borders count="31">
    <border>
      <left/>
      <right/>
      <top/>
      <bottom/>
      <diagonal/>
    </border>
    <border>
      <left style="hair">
        <color auto="1"/>
      </left>
      <right style="hair">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diagonal/>
    </border>
    <border>
      <left style="hair">
        <color auto="1"/>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indexed="64"/>
      </left>
      <right/>
      <top/>
      <bottom/>
      <diagonal/>
    </border>
    <border>
      <left/>
      <right style="medium">
        <color indexed="64"/>
      </right>
      <top/>
      <bottom/>
      <diagonal/>
    </border>
    <border>
      <left/>
      <right style="hair">
        <color auto="1"/>
      </right>
      <top style="hair">
        <color auto="1"/>
      </top>
      <bottom/>
      <diagonal/>
    </border>
    <border>
      <left style="medium">
        <color indexed="64"/>
      </left>
      <right style="hair">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auto="1"/>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77">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xf>
    <xf numFmtId="0" fontId="0" fillId="0" borderId="1" xfId="0" applyFont="1" applyBorder="1" applyAlignment="1">
      <alignment horizontal="left"/>
    </xf>
    <xf numFmtId="0" fontId="0" fillId="0" borderId="2" xfId="0" applyBorder="1"/>
    <xf numFmtId="4" fontId="0" fillId="0" borderId="3" xfId="0" applyNumberFormat="1" applyBorder="1"/>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4" fontId="0" fillId="0" borderId="3" xfId="0" applyNumberFormat="1" applyBorder="1" applyAlignment="1">
      <alignment horizontal="left"/>
    </xf>
    <xf numFmtId="0" fontId="0" fillId="0" borderId="4" xfId="0" applyBorder="1"/>
    <xf numFmtId="0" fontId="0" fillId="0" borderId="5" xfId="0" applyBorder="1"/>
    <xf numFmtId="4" fontId="0" fillId="0" borderId="6" xfId="0" applyNumberFormat="1" applyBorder="1"/>
    <xf numFmtId="4" fontId="0" fillId="0" borderId="7" xfId="0" applyNumberFormat="1" applyBorder="1"/>
    <xf numFmtId="0" fontId="0" fillId="0" borderId="0" xfId="0" applyAlignment="1">
      <alignment horizontal="left" vertical="top"/>
    </xf>
    <xf numFmtId="0" fontId="0" fillId="0" borderId="9" xfId="0" applyBorder="1" applyAlignment="1">
      <alignment horizontal="left"/>
    </xf>
    <xf numFmtId="0" fontId="0" fillId="0" borderId="8" xfId="0" applyBorder="1" applyAlignment="1">
      <alignment horizontal="left"/>
    </xf>
    <xf numFmtId="4" fontId="0" fillId="0" borderId="8" xfId="0" applyNumberFormat="1" applyBorder="1" applyAlignment="1">
      <alignment horizontal="left"/>
    </xf>
    <xf numFmtId="0" fontId="0" fillId="0" borderId="0" xfId="0" applyFill="1" applyAlignment="1">
      <alignment horizontal="left"/>
    </xf>
    <xf numFmtId="0" fontId="0" fillId="0" borderId="0" xfId="0" applyFont="1" applyBorder="1" applyAlignment="1">
      <alignment horizontal="left"/>
    </xf>
    <xf numFmtId="0" fontId="0" fillId="0" borderId="8" xfId="0" applyFont="1" applyBorder="1" applyAlignment="1">
      <alignment horizontal="left"/>
    </xf>
    <xf numFmtId="0" fontId="0" fillId="0" borderId="10" xfId="0" applyBorder="1" applyAlignment="1">
      <alignment horizontal="left"/>
    </xf>
    <xf numFmtId="0" fontId="0" fillId="0" borderId="10" xfId="0" applyFont="1" applyBorder="1" applyAlignment="1">
      <alignment horizontal="left"/>
    </xf>
    <xf numFmtId="0" fontId="5" fillId="2" borderId="11" xfId="0" applyFont="1" applyFill="1" applyBorder="1" applyAlignment="1">
      <alignment horizontal="centerContinuous"/>
    </xf>
    <xf numFmtId="0" fontId="5" fillId="2" borderId="12" xfId="0" applyFont="1" applyFill="1" applyBorder="1" applyAlignment="1">
      <alignment horizontal="centerContinuous"/>
    </xf>
    <xf numFmtId="0" fontId="1" fillId="3" borderId="13" xfId="0" applyFont="1" applyFill="1" applyBorder="1" applyAlignment="1">
      <alignment horizontal="centerContinuous"/>
    </xf>
    <xf numFmtId="0" fontId="0" fillId="3" borderId="14" xfId="0" applyFill="1" applyBorder="1" applyAlignment="1">
      <alignment horizontal="centerContinuous"/>
    </xf>
    <xf numFmtId="0" fontId="0" fillId="3" borderId="9" xfId="0" applyFill="1" applyBorder="1" applyAlignment="1">
      <alignment horizontal="centerContinuous"/>
    </xf>
    <xf numFmtId="0" fontId="0" fillId="0" borderId="15" xfId="0" applyBorder="1"/>
    <xf numFmtId="0" fontId="0" fillId="0" borderId="16" xfId="0" applyBorder="1"/>
    <xf numFmtId="0" fontId="1" fillId="0" borderId="1" xfId="0" applyFont="1" applyBorder="1" applyAlignment="1">
      <alignment horizontal="center"/>
    </xf>
    <xf numFmtId="0" fontId="3" fillId="4" borderId="15" xfId="0" applyFont="1" applyFill="1" applyBorder="1" applyAlignment="1">
      <alignment horizontal="left"/>
    </xf>
    <xf numFmtId="0" fontId="3" fillId="4" borderId="16" xfId="0" applyFont="1" applyFill="1" applyBorder="1" applyAlignment="1">
      <alignment horizontal="centerContinuous"/>
    </xf>
    <xf numFmtId="3" fontId="1" fillId="0" borderId="1" xfId="0" applyNumberFormat="1" applyFont="1" applyBorder="1" applyAlignment="1">
      <alignment horizontal="right"/>
    </xf>
    <xf numFmtId="0" fontId="6" fillId="0" borderId="17" xfId="0" applyFont="1" applyBorder="1"/>
    <xf numFmtId="0" fontId="6" fillId="0" borderId="18" xfId="0" applyFont="1" applyBorder="1"/>
    <xf numFmtId="4" fontId="0" fillId="0" borderId="16" xfId="0" applyNumberFormat="1" applyBorder="1"/>
    <xf numFmtId="0" fontId="6" fillId="0" borderId="4" xfId="0" applyFont="1" applyBorder="1"/>
    <xf numFmtId="0" fontId="4" fillId="4" borderId="16" xfId="0" applyFont="1" applyFill="1" applyBorder="1" applyAlignment="1">
      <alignment horizontal="centerContinuous"/>
    </xf>
    <xf numFmtId="4" fontId="0" fillId="0" borderId="0" xfId="0" applyNumberFormat="1"/>
    <xf numFmtId="0" fontId="1" fillId="0" borderId="1" xfId="0" applyFont="1" applyBorder="1" applyAlignment="1">
      <alignment horizontal="center" wrapText="1"/>
    </xf>
    <xf numFmtId="0" fontId="0" fillId="0" borderId="1" xfId="0" applyBorder="1" applyAlignment="1">
      <alignment horizontal="center"/>
    </xf>
    <xf numFmtId="6" fontId="0" fillId="0" borderId="1" xfId="0" applyNumberFormat="1" applyBorder="1" applyAlignment="1">
      <alignment horizontal="center"/>
    </xf>
    <xf numFmtId="0" fontId="10" fillId="0" borderId="0" xfId="0" applyFont="1" applyAlignment="1">
      <alignment vertical="center"/>
    </xf>
    <xf numFmtId="0" fontId="5" fillId="5" borderId="11" xfId="0" applyFont="1" applyFill="1" applyBorder="1" applyAlignment="1">
      <alignment horizontal="centerContinuous"/>
    </xf>
    <xf numFmtId="0" fontId="5" fillId="5" borderId="12" xfId="0" applyFont="1" applyFill="1" applyBorder="1" applyAlignment="1">
      <alignment horizontal="centerContinuous"/>
    </xf>
    <xf numFmtId="0" fontId="1" fillId="6" borderId="13" xfId="0" applyFont="1" applyFill="1" applyBorder="1" applyAlignment="1">
      <alignment horizontal="centerContinuous"/>
    </xf>
    <xf numFmtId="0" fontId="0" fillId="6" borderId="14" xfId="0" applyFill="1" applyBorder="1" applyAlignment="1">
      <alignment horizontal="centerContinuous"/>
    </xf>
    <xf numFmtId="0" fontId="0" fillId="6" borderId="9" xfId="0" applyFill="1" applyBorder="1" applyAlignment="1">
      <alignment horizontal="centerContinuous"/>
    </xf>
    <xf numFmtId="0" fontId="12" fillId="0" borderId="16" xfId="0" applyFont="1" applyBorder="1" applyAlignment="1">
      <alignment horizontal="left"/>
    </xf>
    <xf numFmtId="0" fontId="11" fillId="0" borderId="19" xfId="0" applyFont="1" applyBorder="1"/>
    <xf numFmtId="44" fontId="11" fillId="0" borderId="20" xfId="0" applyNumberFormat="1" applyFont="1" applyBorder="1"/>
    <xf numFmtId="44" fontId="12" fillId="0" borderId="21" xfId="1" applyFont="1" applyBorder="1" applyAlignment="1">
      <alignment horizontal="left"/>
    </xf>
    <xf numFmtId="0" fontId="12" fillId="0" borderId="24" xfId="0" applyFont="1" applyBorder="1"/>
    <xf numFmtId="0" fontId="12" fillId="0" borderId="25" xfId="0" applyFont="1" applyBorder="1"/>
    <xf numFmtId="0" fontId="12" fillId="0" borderId="26" xfId="0" applyFont="1" applyBorder="1" applyAlignment="1">
      <alignment horizontal="left"/>
    </xf>
    <xf numFmtId="44" fontId="12" fillId="0" borderId="27" xfId="1" applyFont="1" applyBorder="1" applyAlignment="1">
      <alignment horizontal="left"/>
    </xf>
    <xf numFmtId="0" fontId="12" fillId="0" borderId="28" xfId="0" applyFont="1" applyBorder="1"/>
    <xf numFmtId="0" fontId="12" fillId="0" borderId="29" xfId="0" applyFont="1" applyBorder="1"/>
    <xf numFmtId="2" fontId="12" fillId="0" borderId="30" xfId="0" applyNumberFormat="1" applyFont="1" applyBorder="1" applyAlignment="1">
      <alignment horizontal="left"/>
    </xf>
    <xf numFmtId="4" fontId="0" fillId="7" borderId="1" xfId="0" applyNumberFormat="1" applyFill="1" applyBorder="1" applyAlignment="1">
      <alignment horizontal="right"/>
    </xf>
    <xf numFmtId="43" fontId="0" fillId="7" borderId="1" xfId="0" applyNumberFormat="1" applyFill="1" applyBorder="1" applyAlignment="1">
      <alignment horizontal="right"/>
    </xf>
    <xf numFmtId="0" fontId="0" fillId="7" borderId="1" xfId="0" applyFill="1" applyBorder="1" applyAlignment="1">
      <alignment horizontal="center"/>
    </xf>
    <xf numFmtId="0" fontId="12" fillId="7" borderId="25" xfId="0" applyFont="1" applyFill="1" applyBorder="1"/>
    <xf numFmtId="0" fontId="13" fillId="0" borderId="0" xfId="0" applyFont="1"/>
    <xf numFmtId="0" fontId="6" fillId="0" borderId="0" xfId="0" applyFont="1"/>
    <xf numFmtId="0" fontId="14" fillId="0" borderId="0" xfId="0" applyFont="1"/>
    <xf numFmtId="0" fontId="12" fillId="7" borderId="15" xfId="0" applyFont="1" applyFill="1" applyBorder="1"/>
    <xf numFmtId="4" fontId="0" fillId="0" borderId="1" xfId="0" applyNumberFormat="1" applyBorder="1" applyAlignment="1">
      <alignment horizontal="right"/>
    </xf>
    <xf numFmtId="43" fontId="0" fillId="0" borderId="1" xfId="0" applyNumberFormat="1" applyBorder="1" applyAlignment="1">
      <alignment horizontal="right"/>
    </xf>
    <xf numFmtId="0" fontId="11" fillId="7" borderId="22" xfId="0" applyFont="1" applyFill="1" applyBorder="1" applyAlignment="1">
      <alignment horizontal="center"/>
    </xf>
    <xf numFmtId="0" fontId="11" fillId="7" borderId="23" xfId="0" applyFont="1" applyFill="1" applyBorder="1" applyAlignment="1">
      <alignment horizont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EAD4-A0CD-44E1-8F55-42BFE5794E95}">
  <dimension ref="A1:H28"/>
  <sheetViews>
    <sheetView tabSelected="1" workbookViewId="0">
      <selection activeCell="B7" sqref="B7"/>
    </sheetView>
  </sheetViews>
  <sheetFormatPr defaultRowHeight="18" customHeight="1" x14ac:dyDescent="0.35"/>
  <cols>
    <col min="1" max="1" width="23.6328125" bestFit="1" customWidth="1"/>
    <col min="2" max="2" width="33.453125" bestFit="1" customWidth="1"/>
    <col min="4" max="4" width="10.453125" hidden="1" customWidth="1"/>
    <col min="7" max="7" width="27.36328125" bestFit="1" customWidth="1"/>
  </cols>
  <sheetData>
    <row r="1" spans="1:8" ht="18" customHeight="1" thickBot="1" x14ac:dyDescent="0.4">
      <c r="A1" s="71" t="s">
        <v>108</v>
      </c>
      <c r="B1" s="72"/>
    </row>
    <row r="2" spans="1:8" ht="18" customHeight="1" x14ac:dyDescent="0.35">
      <c r="A2" s="73" t="s">
        <v>97</v>
      </c>
      <c r="B2" s="74"/>
    </row>
    <row r="3" spans="1:8" ht="34.5" customHeight="1" x14ac:dyDescent="0.35">
      <c r="A3" s="75"/>
      <c r="B3" s="76"/>
    </row>
    <row r="4" spans="1:8" ht="18" customHeight="1" x14ac:dyDescent="0.35">
      <c r="A4" s="68" t="s">
        <v>95</v>
      </c>
      <c r="B4" s="50" t="s">
        <v>0</v>
      </c>
      <c r="G4" s="2"/>
      <c r="H4" s="42"/>
    </row>
    <row r="5" spans="1:8" ht="18" customHeight="1" x14ac:dyDescent="0.35">
      <c r="A5" s="55" t="s">
        <v>76</v>
      </c>
      <c r="B5" s="56" t="s">
        <v>85</v>
      </c>
      <c r="D5" t="s">
        <v>85</v>
      </c>
      <c r="G5" s="2"/>
      <c r="H5" s="42"/>
    </row>
    <row r="6" spans="1:8" ht="18" customHeight="1" x14ac:dyDescent="0.35">
      <c r="A6" s="64" t="s">
        <v>96</v>
      </c>
      <c r="B6" s="56" t="s">
        <v>9</v>
      </c>
      <c r="D6" t="s">
        <v>24</v>
      </c>
      <c r="G6" s="2"/>
      <c r="H6" s="42"/>
    </row>
    <row r="7" spans="1:8" ht="18" customHeight="1" x14ac:dyDescent="0.35">
      <c r="A7" s="55" t="s">
        <v>83</v>
      </c>
      <c r="B7" s="56" t="s">
        <v>38</v>
      </c>
      <c r="G7" s="2"/>
      <c r="H7" s="42"/>
    </row>
    <row r="8" spans="1:8" ht="18" customHeight="1" x14ac:dyDescent="0.35">
      <c r="A8" s="55"/>
      <c r="B8" s="56"/>
      <c r="G8" s="2"/>
      <c r="H8" s="42"/>
    </row>
    <row r="9" spans="1:8" ht="18" customHeight="1" x14ac:dyDescent="0.35">
      <c r="A9" s="64" t="s">
        <v>90</v>
      </c>
      <c r="B9" s="56" t="str">
        <f>IF(OR(B6=Undergraduate!G40,B6=Undergraduate!G41,B6=Undergraduate!G42,B6=Undergraduate!G43,B6=Undergraduate!G44),"NO","YES")</f>
        <v>NO</v>
      </c>
      <c r="G9" s="2"/>
      <c r="H9" s="42"/>
    </row>
    <row r="10" spans="1:8" ht="18" customHeight="1" x14ac:dyDescent="0.35">
      <c r="A10" s="59" t="s">
        <v>75</v>
      </c>
      <c r="B10" s="60" cm="1">
        <f t="array" ref="B10">IF(B5="Summer",IF(OR(B6=Undergraduate!L13,B6=Undergraduate!Q13,B6="Border Commuter (3 Hrs)~*"),3,6),IF(AND(B4="Undergraduate",OR(B6="Border Commuter (6 Hrs)~*")),6,IF(AND(B4="Undergraduate",OR(B6="Border Commuter (3 Hrs)~*")),3,IF(AND(B4="Graduate",OR(B6=Graduate!H2:J2,B6="Full-Time Mexican~*",B6="Full-Time Overseas~*~*",B6="Full-Time Border Commuter~*")),9,IF(AND(B4="Graduate",OR(B6="Border Commuter (6 Hrs)~*")),6,IF(AND(B4="Graduate",OR(B6="Border Commuter (3 Hrs)~*")),3,IF(OR(B6=Undergraduate!L13,B6=Undergraduate!Q13),3,IF(OR(B6=Undergraduate!K13,B6=Undergraduate!P13),6,12))))))))</f>
        <v>12</v>
      </c>
      <c r="G10" s="2"/>
      <c r="H10" s="42"/>
    </row>
    <row r="11" spans="1:8" ht="18" customHeight="1" x14ac:dyDescent="0.35">
      <c r="A11" s="58" t="s">
        <v>77</v>
      </c>
      <c r="B11" s="57">
        <f>IF(B4="Undergraduate",IF(B5="Summer",INDEX(Undergraduate!H14:Q14,MATCH(B6,Undergraduate!H13:Q13,0)),IF(B7="Off Campus (with family)",INDEX(Undergraduate!H25:Q25,MATCH(B6,Undergraduate!H24:Q24,0)),INDEX(Undergraduate!H3:Q3,MATCH(B6,Undergraduate!H2:Q2,0)))),IF(B5="Summer",INDEX(Graduate!H14:Q14,MATCH(B6,Graduate!H13:Q13,0)),IF(B7="Off Campus (with family)",INDEX(Graduate!H25:Q25,MATCH(B6,Graduate!H24:Q24,0)),INDEX(Graduate!H3:Q3,MATCH(B6,Graduate!H2:Q2,0)))))</f>
        <v>19333.12</v>
      </c>
      <c r="G11" s="2"/>
      <c r="H11" s="42"/>
    </row>
    <row r="12" spans="1:8" ht="18" customHeight="1" x14ac:dyDescent="0.35">
      <c r="A12" s="58" t="s">
        <v>78</v>
      </c>
      <c r="B12" s="57">
        <f>IF(B4="Undergraduate",IF(B5="Summer",INDEX(Undergraduate!H15:Q15,MATCH(B6,Undergraduate!H13:Q13,0)),IF(B7="Off Campus (with family)",INDEX(Undergraduate!H26:Q26,MATCH(B6,Undergraduate!H24:Q24,0)),INDEX(Undergraduate!H4:Q4,MATCH(B6,Undergraduate!H2:Q2,0)))),IF(B5="Summer",INDEX(Graduate!H15:Q15,MATCH(B6,Graduate!H13:Q13,0)),IF(B7="Off Campus (with family)",INDEX(Graduate!H26:Q26,MATCH(B6,Graduate!H24:Q24,0)),INDEX(Graduate!H4:Q4,MATCH(B6,Graduate!H2:Q2,0)))))</f>
        <v>8927</v>
      </c>
      <c r="G12" s="2"/>
      <c r="H12" s="42"/>
    </row>
    <row r="13" spans="1:8" ht="18" customHeight="1" x14ac:dyDescent="0.35">
      <c r="A13" s="58" t="s">
        <v>79</v>
      </c>
      <c r="B13" s="57">
        <f>IF(B4="Undergraduate",IF(B5="Summer",INDEX(Undergraduate!H16:Q16,MATCH(B6,Undergraduate!H13:Q13,0)),IF(B7="Off Campus (with family)",INDEX(Undergraduate!H27:Q27,MATCH(B6,Undergraduate!H24:Q24,0)),INDEX(Undergraduate!H5:Q5,MATCH(B6,Undergraduate!H2:Q2,0)))),IF(B5="Summer",INDEX(Graduate!H16:Q16,MATCH(B6,Graduate!H13:Q13,0)),IF(B7="Off Campus (with family)",INDEX(Graduate!H27:Q27,MATCH(B6,Graduate!H24:Q24,0)),INDEX(Graduate!H5:Q5,MATCH(B6,Graduate!H2:Q2,0)))))</f>
        <v>956.8</v>
      </c>
      <c r="G13" s="2"/>
      <c r="H13" s="42"/>
    </row>
    <row r="14" spans="1:8" ht="18" customHeight="1" x14ac:dyDescent="0.35">
      <c r="A14" s="58" t="s">
        <v>80</v>
      </c>
      <c r="B14" s="57">
        <f>IF(B4="Undergraduate",IF(B5="Summer",INDEX(Undergraduate!H17:Q17,MATCH(B6,Undergraduate!H13:Q13,0)),IF(B7="Off Campus (with family)",INDEX(Undergraduate!H28:Q28,MATCH(B6,Undergraduate!H24:Q24,0)),INDEX(Undergraduate!H6:Q6,MATCH(B6,Undergraduate!H2:Q2,0)))),IF(B5="Summer",INDEX(Graduate!H17:Q17,MATCH(B6,Graduate!H13:Q13,0)),IF(B7="Off Campus (with family)",INDEX(Graduate!H28:Q28,MATCH(B6,Graduate!H24:Q24,0)),INDEX(Graduate!H6:Q6,MATCH(B6,Graduate!H2:Q2,0)))))</f>
        <v>1876</v>
      </c>
    </row>
    <row r="15" spans="1:8" ht="18" customHeight="1" x14ac:dyDescent="0.35">
      <c r="A15" s="58" t="s">
        <v>81</v>
      </c>
      <c r="B15" s="57">
        <f>IF(B4="Undergraduate",IF(B5="Summer",INDEX(Undergraduate!H18:Q18,MATCH(B6,Undergraduate!H13:Q13,0)),IF(B7="Off Campus (with family)",INDEX(Undergraduate!H29:Q29,MATCH(B6,Undergraduate!H24:Q24,0)),INDEX(Undergraduate!H7:Q7,MATCH(B6,Undergraduate!H2:Q2,0)))),IF(B5="Summer",INDEX(Graduate!H18:Q18,MATCH(B6,Graduate!H13:Q13,0)),IF(B7="Off Campus (with family)",INDEX(Graduate!H29:Q29,MATCH(B6,Graduate!H24:Q24,0)),INDEX(Graduate!H7:Q7,MATCH(B6,Graduate!H2:Q2,0)))))</f>
        <v>2390</v>
      </c>
    </row>
    <row r="16" spans="1:8" ht="18" customHeight="1" thickBot="1" x14ac:dyDescent="0.4">
      <c r="A16" s="54" t="s">
        <v>82</v>
      </c>
      <c r="B16" s="53">
        <f>IF(B4="Undergraduate",IF(B5="Summer",INDEX(Undergraduate!H19:Q19,MATCH(B6,Undergraduate!H13:Q13,0)),IF(B7="Off Campus (with family)",INDEX(Undergraduate!H30:Q30,MATCH(B6,Undergraduate!H24:Q24,0)),INDEX(Undergraduate!H8:Q8,MATCH(B6,Undergraduate!H2:Q2,0)))),IF(B5="Summer",INDEX(Graduate!H19:Q19,MATCH(B6,Graduate!H13:Q13,0)),IF(B7="Off Campus (with family)",INDEX(Graduate!H30:Q30,MATCH(B6,Graduate!H24:Q24,0)),INDEX(Graduate!H8:Q8,MATCH(B6,Graduate!H2:Q2,0)))))</f>
        <v>3590</v>
      </c>
    </row>
    <row r="17" spans="1:2" ht="18" customHeight="1" thickTop="1" thickBot="1" x14ac:dyDescent="0.4">
      <c r="A17" s="51" t="s">
        <v>84</v>
      </c>
      <c r="B17" s="52">
        <f>SUM(B11:B16)</f>
        <v>37072.92</v>
      </c>
    </row>
    <row r="19" spans="1:2" ht="18" customHeight="1" x14ac:dyDescent="0.35">
      <c r="A19" s="66" t="s">
        <v>99</v>
      </c>
    </row>
    <row r="20" spans="1:2" ht="18" customHeight="1" x14ac:dyDescent="0.35">
      <c r="A20" s="66" t="s">
        <v>94</v>
      </c>
    </row>
    <row r="21" spans="1:2" ht="18" customHeight="1" x14ac:dyDescent="0.35">
      <c r="A21" s="67" t="s">
        <v>92</v>
      </c>
    </row>
    <row r="22" spans="1:2" s="67" customFormat="1" ht="18" customHeight="1" x14ac:dyDescent="0.25">
      <c r="A22" s="67" t="s">
        <v>86</v>
      </c>
    </row>
    <row r="23" spans="1:2" s="67" customFormat="1" ht="18" customHeight="1" x14ac:dyDescent="0.25">
      <c r="A23" s="67" t="s">
        <v>87</v>
      </c>
    </row>
    <row r="24" spans="1:2" s="67" customFormat="1" ht="18" customHeight="1" x14ac:dyDescent="0.25">
      <c r="A24" s="67" t="s">
        <v>88</v>
      </c>
    </row>
    <row r="25" spans="1:2" s="67" customFormat="1" ht="18" customHeight="1" x14ac:dyDescent="0.25">
      <c r="A25" s="67" t="s">
        <v>89</v>
      </c>
    </row>
    <row r="26" spans="1:2" s="67" customFormat="1" ht="18" customHeight="1" x14ac:dyDescent="0.25">
      <c r="A26" s="67" t="s">
        <v>91</v>
      </c>
    </row>
    <row r="27" spans="1:2" ht="18" customHeight="1" x14ac:dyDescent="0.35">
      <c r="A27" s="67" t="s">
        <v>93</v>
      </c>
    </row>
    <row r="28" spans="1:2" ht="18" customHeight="1" x14ac:dyDescent="0.35">
      <c r="A28" s="65" t="s">
        <v>98</v>
      </c>
    </row>
  </sheetData>
  <dataConsolidate/>
  <mergeCells count="2">
    <mergeCell ref="A1:B1"/>
    <mergeCell ref="A2:B3"/>
  </mergeCells>
  <dataValidations count="1">
    <dataValidation type="list" allowBlank="1" showInputMessage="1" showErrorMessage="1" sqref="B5" xr:uid="{EC2BBC50-3D2A-41B1-B8BC-3B470467B8EB}">
      <formula1>$D$5:$D$6</formula1>
    </dataValidation>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B981B33C-F3FE-43A9-8BF1-6EDF8F90D19C}">
          <x14:formula1>
            <xm:f>'Calculator (2)'!$L$2:$L$3</xm:f>
          </x14:formula1>
          <xm:sqref>B4</xm:sqref>
        </x14:dataValidation>
        <x14:dataValidation type="list" allowBlank="1" showInputMessage="1" showErrorMessage="1" xr:uid="{9C7777B3-B11A-4EDF-B8D3-26472372840D}">
          <x14:formula1>
            <xm:f>'Calculator (2)'!$B$18:$B$27</xm:f>
          </x14:formula1>
          <xm:sqref>B6</xm:sqref>
        </x14:dataValidation>
        <x14:dataValidation type="list" allowBlank="1" showInputMessage="1" showErrorMessage="1" xr:uid="{DE44DB90-4BDD-44B4-A65B-8EA8CFE94FB5}">
          <x14:formula1>
            <xm:f>'Calculator (2)'!$Y$2:$Y$4</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443A-0A37-4B94-BFE3-96BDEF8A6EB7}">
  <dimension ref="A1:AE27"/>
  <sheetViews>
    <sheetView workbookViewId="0">
      <selection activeCell="L5" sqref="L5"/>
    </sheetView>
  </sheetViews>
  <sheetFormatPr defaultRowHeight="14.5" x14ac:dyDescent="0.35"/>
  <cols>
    <col min="1" max="1" width="24" style="15" customWidth="1"/>
    <col min="2" max="2" width="27" customWidth="1"/>
    <col min="3" max="3" width="12.54296875" customWidth="1"/>
    <col min="4" max="11" width="0" hidden="1" customWidth="1"/>
    <col min="12" max="12" width="14.453125" bestFit="1" customWidth="1"/>
    <col min="13" max="13" width="9.453125" bestFit="1" customWidth="1"/>
    <col min="14" max="14" width="13.453125" bestFit="1" customWidth="1"/>
    <col min="15" max="15" width="14.08984375" bestFit="1" customWidth="1"/>
    <col min="16" max="16" width="27.36328125" bestFit="1" customWidth="1"/>
    <col min="17" max="17" width="15.08984375" customWidth="1"/>
    <col min="18" max="18" width="14.54296875" bestFit="1" customWidth="1"/>
    <col min="19" max="19" width="15.6328125" bestFit="1" customWidth="1"/>
    <col min="21" max="21" width="15" bestFit="1" customWidth="1"/>
    <col min="23" max="23" width="18.36328125" bestFit="1" customWidth="1"/>
    <col min="25" max="25" width="25.08984375" bestFit="1" customWidth="1"/>
    <col min="27" max="27" width="25.08984375" bestFit="1" customWidth="1"/>
    <col min="29" max="29" width="17.36328125" bestFit="1" customWidth="1"/>
  </cols>
  <sheetData>
    <row r="1" spans="1:31" x14ac:dyDescent="0.35">
      <c r="L1" s="7" t="s">
        <v>19</v>
      </c>
      <c r="M1" s="7" t="s">
        <v>21</v>
      </c>
      <c r="N1" s="19" t="s">
        <v>31</v>
      </c>
      <c r="O1" s="19" t="s">
        <v>34</v>
      </c>
      <c r="P1" s="17" t="s">
        <v>44</v>
      </c>
      <c r="Q1" s="22" t="s">
        <v>43</v>
      </c>
      <c r="R1" s="21" t="s">
        <v>42</v>
      </c>
      <c r="S1" s="17" t="s">
        <v>1</v>
      </c>
      <c r="T1" s="18">
        <f>9666.56*2</f>
        <v>19333.12</v>
      </c>
      <c r="U1" s="16" t="s">
        <v>2</v>
      </c>
      <c r="V1" s="2"/>
      <c r="W1" s="2" t="s">
        <v>3</v>
      </c>
      <c r="X1" s="2"/>
      <c r="Y1" s="2" t="s">
        <v>4</v>
      </c>
      <c r="Z1" s="2"/>
      <c r="AA1" s="2" t="s">
        <v>5</v>
      </c>
      <c r="AB1" s="2"/>
      <c r="AC1" s="2" t="s">
        <v>6</v>
      </c>
      <c r="AD1" s="2"/>
      <c r="AE1" s="1" t="s">
        <v>7</v>
      </c>
    </row>
    <row r="2" spans="1:31" x14ac:dyDescent="0.35">
      <c r="A2" s="15" t="s">
        <v>19</v>
      </c>
      <c r="B2" t="s">
        <v>0</v>
      </c>
      <c r="L2" s="4" t="s">
        <v>0</v>
      </c>
      <c r="M2" s="7" t="s">
        <v>22</v>
      </c>
      <c r="N2" s="19" t="s">
        <v>32</v>
      </c>
      <c r="O2" s="19">
        <v>12</v>
      </c>
      <c r="P2" s="21" t="s">
        <v>9</v>
      </c>
      <c r="Q2" s="23" t="s">
        <v>0</v>
      </c>
      <c r="R2" s="17">
        <v>12</v>
      </c>
      <c r="S2" t="s">
        <v>33</v>
      </c>
      <c r="T2" s="18">
        <f>9666.56*2</f>
        <v>19333.12</v>
      </c>
      <c r="U2" s="7"/>
      <c r="W2" s="5" t="s">
        <v>35</v>
      </c>
      <c r="Y2" s="5" t="s">
        <v>38</v>
      </c>
      <c r="AA2" s="5" t="s">
        <v>38</v>
      </c>
      <c r="AC2" s="5" t="s">
        <v>22</v>
      </c>
      <c r="AD2" s="6">
        <v>1332</v>
      </c>
    </row>
    <row r="3" spans="1:31" x14ac:dyDescent="0.35">
      <c r="A3" s="15" t="s">
        <v>21</v>
      </c>
      <c r="B3" t="s">
        <v>22</v>
      </c>
      <c r="L3" s="7" t="s">
        <v>8</v>
      </c>
      <c r="M3" s="7" t="s">
        <v>23</v>
      </c>
      <c r="N3" s="19" t="s">
        <v>33</v>
      </c>
      <c r="O3" s="19">
        <v>6</v>
      </c>
      <c r="P3" s="21" t="s">
        <v>10</v>
      </c>
      <c r="Q3" s="23" t="s">
        <v>0</v>
      </c>
      <c r="R3" s="17">
        <v>6</v>
      </c>
      <c r="S3" t="s">
        <v>33</v>
      </c>
      <c r="T3" s="18">
        <f>4980.38*2</f>
        <v>9960.76</v>
      </c>
      <c r="U3" s="7"/>
      <c r="W3" s="5" t="s">
        <v>36</v>
      </c>
      <c r="Y3" s="5" t="s">
        <v>39</v>
      </c>
      <c r="AA3" s="5" t="s">
        <v>39</v>
      </c>
      <c r="AC3" s="11" t="s">
        <v>23</v>
      </c>
      <c r="AD3" s="13">
        <v>1319</v>
      </c>
    </row>
    <row r="4" spans="1:31" ht="15" thickBot="1" x14ac:dyDescent="0.4">
      <c r="A4" s="15" t="s">
        <v>42</v>
      </c>
      <c r="B4" s="15">
        <v>6</v>
      </c>
      <c r="M4" s="7" t="s">
        <v>24</v>
      </c>
      <c r="N4" s="19"/>
      <c r="O4" s="19">
        <v>3</v>
      </c>
      <c r="P4" s="21" t="s">
        <v>11</v>
      </c>
      <c r="Q4" s="23" t="s">
        <v>0</v>
      </c>
      <c r="R4" s="17">
        <v>3</v>
      </c>
      <c r="S4" t="s">
        <v>33</v>
      </c>
      <c r="T4" s="18">
        <f>2637.29*2</f>
        <v>5274.58</v>
      </c>
      <c r="U4" s="7"/>
      <c r="W4" s="5" t="s">
        <v>37</v>
      </c>
      <c r="Y4" s="5" t="s">
        <v>40</v>
      </c>
      <c r="AA4" s="5" t="s">
        <v>40</v>
      </c>
      <c r="AC4" s="12" t="s">
        <v>24</v>
      </c>
      <c r="AD4" s="14">
        <v>804</v>
      </c>
    </row>
    <row r="5" spans="1:31" x14ac:dyDescent="0.35">
      <c r="A5" s="15" t="s">
        <v>31</v>
      </c>
      <c r="B5" t="s">
        <v>32</v>
      </c>
      <c r="M5" s="7"/>
      <c r="N5" s="7"/>
      <c r="O5" s="7"/>
      <c r="P5" s="21" t="s">
        <v>12</v>
      </c>
      <c r="Q5" s="23" t="s">
        <v>0</v>
      </c>
      <c r="R5" s="17">
        <v>12</v>
      </c>
      <c r="S5" s="17" t="s">
        <v>32</v>
      </c>
      <c r="T5" s="18">
        <f>4770.56*2</f>
        <v>9541.1200000000008</v>
      </c>
      <c r="U5" s="7"/>
    </row>
    <row r="6" spans="1:31" x14ac:dyDescent="0.35">
      <c r="A6" s="15" t="s">
        <v>20</v>
      </c>
      <c r="B6" t="s">
        <v>9</v>
      </c>
      <c r="M6" s="7"/>
      <c r="N6" s="7"/>
      <c r="O6" s="7"/>
      <c r="P6" s="21" t="s">
        <v>13</v>
      </c>
      <c r="Q6" s="23" t="s">
        <v>0</v>
      </c>
      <c r="R6" s="17">
        <v>6</v>
      </c>
      <c r="S6" s="17" t="s">
        <v>32</v>
      </c>
      <c r="T6" s="18">
        <f>2532.38*2</f>
        <v>5064.76</v>
      </c>
      <c r="U6" s="7"/>
    </row>
    <row r="7" spans="1:31" x14ac:dyDescent="0.35">
      <c r="M7" s="7"/>
      <c r="N7" s="7"/>
      <c r="O7" s="7"/>
      <c r="P7" s="21" t="s">
        <v>14</v>
      </c>
      <c r="Q7" s="23" t="s">
        <v>0</v>
      </c>
      <c r="R7" s="17">
        <v>3</v>
      </c>
      <c r="S7" s="17" t="s">
        <v>32</v>
      </c>
      <c r="T7" s="18">
        <f>1413.29*2</f>
        <v>2826.58</v>
      </c>
      <c r="U7" s="7"/>
    </row>
    <row r="8" spans="1:31" x14ac:dyDescent="0.35">
      <c r="A8" s="2"/>
      <c r="M8" s="7"/>
      <c r="N8" s="7"/>
      <c r="O8" s="7"/>
      <c r="P8" s="21" t="s">
        <v>15</v>
      </c>
      <c r="Q8" s="20"/>
      <c r="R8" s="7"/>
      <c r="S8" s="7"/>
      <c r="T8" s="7"/>
      <c r="U8" s="7"/>
    </row>
    <row r="9" spans="1:31" x14ac:dyDescent="0.35">
      <c r="M9" s="7"/>
      <c r="N9" s="7"/>
      <c r="O9" s="7"/>
      <c r="P9" s="21" t="s">
        <v>16</v>
      </c>
      <c r="Q9" s="20"/>
      <c r="R9" s="7"/>
      <c r="S9" s="7"/>
      <c r="T9" s="7"/>
      <c r="U9" s="7"/>
    </row>
    <row r="10" spans="1:31" x14ac:dyDescent="0.35">
      <c r="M10" s="7"/>
      <c r="N10" s="7"/>
      <c r="O10" s="7"/>
      <c r="P10" s="21" t="s">
        <v>17</v>
      </c>
      <c r="Q10" s="20"/>
      <c r="R10" s="7"/>
      <c r="S10" s="7"/>
      <c r="T10" s="7"/>
      <c r="U10" s="7"/>
    </row>
    <row r="11" spans="1:31" x14ac:dyDescent="0.35">
      <c r="A11" s="15" t="s">
        <v>41</v>
      </c>
      <c r="B11" cm="1">
        <f t="array" ref="B11">INDEX(T2:T7,MATCH(1,(B4=R2:R7)*(B5=S2:S7)*(B2=Q2:Q7),0))+INDEX(AD2:AD4,MATCH(B3,AC2:AC4,0))</f>
        <v>6396.76</v>
      </c>
      <c r="M11" s="7"/>
      <c r="N11" s="7"/>
      <c r="O11" s="7"/>
      <c r="P11" s="21" t="s">
        <v>18</v>
      </c>
      <c r="Q11" s="20"/>
      <c r="R11" s="7"/>
      <c r="S11" s="7"/>
      <c r="T11" s="7"/>
      <c r="U11" s="7"/>
    </row>
    <row r="12" spans="1:31" x14ac:dyDescent="0.35">
      <c r="M12" s="7"/>
      <c r="N12" s="7"/>
      <c r="O12" s="7"/>
      <c r="P12" s="7"/>
      <c r="Q12" s="7"/>
      <c r="R12" s="7"/>
      <c r="S12" s="7"/>
      <c r="T12" s="7"/>
      <c r="U12" s="7"/>
    </row>
    <row r="17" spans="1:2" x14ac:dyDescent="0.35">
      <c r="A17" s="1" t="s">
        <v>0</v>
      </c>
    </row>
    <row r="18" spans="1:2" x14ac:dyDescent="0.35">
      <c r="A18" s="2" t="s">
        <v>9</v>
      </c>
      <c r="B18" s="2" t="s">
        <v>9</v>
      </c>
    </row>
    <row r="19" spans="1:2" x14ac:dyDescent="0.35">
      <c r="A19" s="2" t="s">
        <v>10</v>
      </c>
      <c r="B19" s="2" t="s">
        <v>10</v>
      </c>
    </row>
    <row r="20" spans="1:2" x14ac:dyDescent="0.35">
      <c r="A20" s="2" t="s">
        <v>11</v>
      </c>
      <c r="B20" s="2" t="s">
        <v>11</v>
      </c>
    </row>
    <row r="21" spans="1:2" x14ac:dyDescent="0.35">
      <c r="A21" s="2" t="s">
        <v>12</v>
      </c>
      <c r="B21" s="2" t="s">
        <v>12</v>
      </c>
    </row>
    <row r="22" spans="1:2" x14ac:dyDescent="0.35">
      <c r="A22" s="2" t="s">
        <v>13</v>
      </c>
      <c r="B22" s="2" t="s">
        <v>13</v>
      </c>
    </row>
    <row r="23" spans="1:2" x14ac:dyDescent="0.35">
      <c r="A23" s="2" t="s">
        <v>14</v>
      </c>
      <c r="B23" s="2" t="s">
        <v>101</v>
      </c>
    </row>
    <row r="24" spans="1:2" x14ac:dyDescent="0.35">
      <c r="A24" s="2" t="s">
        <v>15</v>
      </c>
      <c r="B24" s="2" t="s">
        <v>100</v>
      </c>
    </row>
    <row r="25" spans="1:2" x14ac:dyDescent="0.35">
      <c r="A25" s="2" t="s">
        <v>16</v>
      </c>
      <c r="B25" s="2" t="s">
        <v>102</v>
      </c>
    </row>
    <row r="26" spans="1:2" x14ac:dyDescent="0.35">
      <c r="A26" s="2" t="s">
        <v>17</v>
      </c>
      <c r="B26" s="2" t="s">
        <v>103</v>
      </c>
    </row>
    <row r="27" spans="1:2" x14ac:dyDescent="0.35">
      <c r="A27" s="2" t="s">
        <v>18</v>
      </c>
      <c r="B27" s="2" t="s">
        <v>104</v>
      </c>
    </row>
  </sheetData>
  <dataValidations count="5">
    <dataValidation type="list" allowBlank="1" showInputMessage="1" showErrorMessage="1" sqref="B6" xr:uid="{FBECAC37-6B69-4D8F-BC49-2BECFDC3A570}">
      <formula1>$P$2:$P$11</formula1>
    </dataValidation>
    <dataValidation type="list" allowBlank="1" showInputMessage="1" showErrorMessage="1" sqref="B5 S2:S4" xr:uid="{9B27DB43-AB68-4211-881E-D062C317AB5B}">
      <formula1>$N$2:$N$3</formula1>
    </dataValidation>
    <dataValidation type="list" allowBlank="1" showInputMessage="1" showErrorMessage="1" sqref="B4" xr:uid="{A053E855-3D30-4BA8-99D8-3024B2ABA289}">
      <formula1>$O$2:$O$4</formula1>
    </dataValidation>
    <dataValidation type="list" allowBlank="1" showInputMessage="1" showErrorMessage="1" sqref="B2" xr:uid="{181098E9-237C-4F3B-A02C-FEF54F2CE54C}">
      <formula1>$L$2:$L$3</formula1>
    </dataValidation>
    <dataValidation type="list" allowBlank="1" showInputMessage="1" showErrorMessage="1" sqref="B3" xr:uid="{9BE4CF4B-D9C3-4758-B2B6-C60CAB252DDD}">
      <formula1>$M$2:$M$4</formula1>
    </dataValidation>
  </dataValidation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91046-C662-4EB2-924F-F2F587B26652}">
  <dimension ref="A1:AD12"/>
  <sheetViews>
    <sheetView workbookViewId="0">
      <selection activeCell="B11" sqref="B11"/>
    </sheetView>
  </sheetViews>
  <sheetFormatPr defaultRowHeight="14.5" x14ac:dyDescent="0.35"/>
  <cols>
    <col min="1" max="1" width="13.08984375" style="15" customWidth="1"/>
    <col min="2" max="2" width="27" customWidth="1"/>
    <col min="3" max="3" width="12.54296875" customWidth="1"/>
    <col min="14" max="14" width="16.08984375" customWidth="1"/>
    <col min="15" max="15" width="14.08984375" bestFit="1" customWidth="1"/>
    <col min="16" max="16" width="32.36328125" customWidth="1"/>
    <col min="18" max="18" width="18.90625" bestFit="1" customWidth="1"/>
  </cols>
  <sheetData>
    <row r="1" spans="1:30" x14ac:dyDescent="0.35">
      <c r="L1" s="7" t="s">
        <v>19</v>
      </c>
      <c r="M1" s="7" t="s">
        <v>21</v>
      </c>
      <c r="N1" s="7" t="s">
        <v>31</v>
      </c>
      <c r="O1" s="7" t="s">
        <v>34</v>
      </c>
      <c r="P1" s="7" t="s">
        <v>20</v>
      </c>
      <c r="Q1" s="3" t="s">
        <v>0</v>
      </c>
      <c r="R1" s="8" t="s">
        <v>1</v>
      </c>
      <c r="S1" s="10">
        <f>9666.56*2</f>
        <v>19333.12</v>
      </c>
      <c r="T1" s="8" t="s">
        <v>2</v>
      </c>
      <c r="U1" s="2"/>
      <c r="V1" s="2" t="s">
        <v>3</v>
      </c>
      <c r="W1" s="2"/>
      <c r="X1" s="2" t="s">
        <v>4</v>
      </c>
      <c r="Y1" s="2"/>
      <c r="Z1" s="2" t="s">
        <v>5</v>
      </c>
      <c r="AA1" s="2"/>
      <c r="AB1" s="2" t="s">
        <v>6</v>
      </c>
      <c r="AC1" s="2"/>
      <c r="AD1" s="1" t="s">
        <v>7</v>
      </c>
    </row>
    <row r="2" spans="1:30" x14ac:dyDescent="0.35">
      <c r="A2" s="15" t="s">
        <v>19</v>
      </c>
      <c r="B2" t="s">
        <v>0</v>
      </c>
      <c r="L2" s="4" t="s">
        <v>0</v>
      </c>
      <c r="M2" s="7" t="s">
        <v>22</v>
      </c>
      <c r="N2" s="7" t="s">
        <v>32</v>
      </c>
      <c r="O2" s="7">
        <v>12</v>
      </c>
      <c r="P2" s="4" t="s">
        <v>9</v>
      </c>
      <c r="Q2" s="7"/>
      <c r="R2" s="9" t="s">
        <v>25</v>
      </c>
      <c r="S2" s="10">
        <f>9666.56*2</f>
        <v>19333.12</v>
      </c>
      <c r="T2" s="7"/>
      <c r="V2" s="5" t="s">
        <v>35</v>
      </c>
      <c r="X2" s="5" t="s">
        <v>38</v>
      </c>
      <c r="Z2" s="5" t="s">
        <v>38</v>
      </c>
      <c r="AB2" s="5" t="s">
        <v>22</v>
      </c>
      <c r="AC2" s="6">
        <v>1332</v>
      </c>
    </row>
    <row r="3" spans="1:30" x14ac:dyDescent="0.35">
      <c r="A3" s="15" t="s">
        <v>21</v>
      </c>
      <c r="B3" t="s">
        <v>22</v>
      </c>
      <c r="L3" s="7" t="s">
        <v>8</v>
      </c>
      <c r="M3" s="7" t="s">
        <v>23</v>
      </c>
      <c r="N3" s="7" t="s">
        <v>33</v>
      </c>
      <c r="O3" s="7">
        <v>6</v>
      </c>
      <c r="P3" s="4" t="s">
        <v>10</v>
      </c>
      <c r="Q3" s="7"/>
      <c r="R3" s="9" t="s">
        <v>26</v>
      </c>
      <c r="S3" s="10">
        <f>4980.38*2</f>
        <v>9960.76</v>
      </c>
      <c r="T3" s="7"/>
      <c r="V3" s="5" t="s">
        <v>36</v>
      </c>
      <c r="X3" s="5" t="s">
        <v>39</v>
      </c>
      <c r="Z3" s="5" t="s">
        <v>39</v>
      </c>
      <c r="AB3" s="11" t="s">
        <v>23</v>
      </c>
      <c r="AC3" s="13">
        <v>1319</v>
      </c>
    </row>
    <row r="4" spans="1:30" ht="15" thickBot="1" x14ac:dyDescent="0.4">
      <c r="A4" s="15" t="s">
        <v>42</v>
      </c>
      <c r="B4" s="15">
        <v>12</v>
      </c>
      <c r="M4" s="7" t="s">
        <v>24</v>
      </c>
      <c r="N4" s="7"/>
      <c r="O4" s="7">
        <v>3</v>
      </c>
      <c r="P4" s="4" t="s">
        <v>11</v>
      </c>
      <c r="Q4" s="7"/>
      <c r="R4" s="9" t="s">
        <v>27</v>
      </c>
      <c r="S4" s="10">
        <f>2637.29*2</f>
        <v>5274.58</v>
      </c>
      <c r="T4" s="7"/>
      <c r="V4" s="5" t="s">
        <v>37</v>
      </c>
      <c r="X4" s="5" t="s">
        <v>40</v>
      </c>
      <c r="Z4" s="5" t="s">
        <v>40</v>
      </c>
      <c r="AB4" s="12" t="s">
        <v>24</v>
      </c>
      <c r="AC4" s="14">
        <v>804</v>
      </c>
    </row>
    <row r="5" spans="1:30" x14ac:dyDescent="0.35">
      <c r="A5" s="15" t="s">
        <v>31</v>
      </c>
      <c r="B5" t="s">
        <v>32</v>
      </c>
      <c r="M5" s="7"/>
      <c r="N5" s="7"/>
      <c r="O5" s="7"/>
      <c r="P5" s="4" t="s">
        <v>12</v>
      </c>
      <c r="Q5" s="7"/>
      <c r="R5" s="9" t="s">
        <v>28</v>
      </c>
      <c r="S5" s="10">
        <f>4770.56*2</f>
        <v>9541.1200000000008</v>
      </c>
      <c r="T5" s="7"/>
    </row>
    <row r="6" spans="1:30" x14ac:dyDescent="0.35">
      <c r="A6" s="15" t="s">
        <v>20</v>
      </c>
      <c r="B6" t="s">
        <v>9</v>
      </c>
      <c r="M6" s="7"/>
      <c r="N6" s="7"/>
      <c r="O6" s="7"/>
      <c r="P6" s="4" t="s">
        <v>13</v>
      </c>
      <c r="Q6" s="7"/>
      <c r="R6" s="9" t="s">
        <v>29</v>
      </c>
      <c r="S6" s="10">
        <f>2532.38*2</f>
        <v>5064.76</v>
      </c>
      <c r="T6" s="7"/>
    </row>
    <row r="7" spans="1:30" x14ac:dyDescent="0.35">
      <c r="M7" s="7"/>
      <c r="N7" s="7"/>
      <c r="O7" s="7"/>
      <c r="P7" s="4" t="s">
        <v>14</v>
      </c>
      <c r="Q7" s="7"/>
      <c r="R7" s="9" t="s">
        <v>30</v>
      </c>
      <c r="S7" s="10">
        <f>1413.29*2</f>
        <v>2826.58</v>
      </c>
      <c r="T7" s="7"/>
    </row>
    <row r="8" spans="1:30" x14ac:dyDescent="0.35">
      <c r="M8" s="7"/>
      <c r="N8" s="7"/>
      <c r="O8" s="7"/>
      <c r="P8" s="4" t="s">
        <v>15</v>
      </c>
      <c r="Q8" s="7"/>
      <c r="R8" s="7"/>
      <c r="S8" s="7"/>
      <c r="T8" s="7"/>
    </row>
    <row r="9" spans="1:30" x14ac:dyDescent="0.35">
      <c r="A9" s="15" t="s">
        <v>41</v>
      </c>
      <c r="M9" s="7"/>
      <c r="N9" s="7"/>
      <c r="O9" s="7"/>
      <c r="P9" s="4" t="s">
        <v>16</v>
      </c>
      <c r="Q9" s="7"/>
      <c r="R9" s="7"/>
      <c r="S9" s="7"/>
      <c r="T9" s="7"/>
    </row>
    <row r="10" spans="1:30" x14ac:dyDescent="0.35">
      <c r="M10" s="7"/>
      <c r="N10" s="7"/>
      <c r="O10" s="7"/>
      <c r="P10" s="4" t="s">
        <v>17</v>
      </c>
      <c r="Q10" s="7"/>
      <c r="R10" s="7"/>
      <c r="S10" s="7"/>
      <c r="T10" s="7"/>
    </row>
    <row r="11" spans="1:30" x14ac:dyDescent="0.35">
      <c r="M11" s="7"/>
      <c r="N11" s="7"/>
      <c r="O11" s="7"/>
      <c r="P11" s="4" t="s">
        <v>18</v>
      </c>
      <c r="Q11" s="7"/>
      <c r="R11" s="7"/>
      <c r="S11" s="7"/>
      <c r="T11" s="7"/>
    </row>
    <row r="12" spans="1:30" x14ac:dyDescent="0.35">
      <c r="M12" s="7"/>
      <c r="N12" s="7"/>
      <c r="O12" s="7"/>
      <c r="P12" s="7"/>
      <c r="Q12" s="7"/>
      <c r="R12" s="7"/>
      <c r="S12" s="7"/>
      <c r="T12" s="7"/>
    </row>
  </sheetData>
  <dataValidations count="5">
    <dataValidation type="list" allowBlank="1" showInputMessage="1" showErrorMessage="1" sqref="B3" xr:uid="{B87EDF41-8655-499E-95B1-7D6682C6CEE5}">
      <formula1>$M$2:$M$4</formula1>
    </dataValidation>
    <dataValidation type="list" allowBlank="1" showInputMessage="1" showErrorMessage="1" sqref="B2" xr:uid="{4F445164-7E0C-42FD-9040-9808FA5E44CE}">
      <formula1>$L$2:$L$3</formula1>
    </dataValidation>
    <dataValidation type="list" allowBlank="1" showInputMessage="1" showErrorMessage="1" sqref="B4" xr:uid="{D3F8BB22-110E-4497-BF5D-2924CE99CD9E}">
      <formula1>$O$2:$O$4</formula1>
    </dataValidation>
    <dataValidation type="list" allowBlank="1" showInputMessage="1" showErrorMessage="1" sqref="B5" xr:uid="{22B27586-D072-41D1-A741-E3190017CC91}">
      <formula1>$N$2:$N$3</formula1>
    </dataValidation>
    <dataValidation type="list" allowBlank="1" showInputMessage="1" showErrorMessage="1" sqref="B6" xr:uid="{8517FD32-7A64-4FA3-B222-FD4E29F60DB1}">
      <formula1>$P$2:$P$11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878B-7499-4AAF-8173-980168201454}">
  <sheetPr>
    <tabColor rgb="FFFF0000"/>
  </sheetPr>
  <dimension ref="A1:Q51"/>
  <sheetViews>
    <sheetView showGridLines="0" zoomScale="85" zoomScaleNormal="85" workbookViewId="0">
      <selection activeCell="M29" sqref="M29"/>
    </sheetView>
  </sheetViews>
  <sheetFormatPr defaultRowHeight="14.5" x14ac:dyDescent="0.35"/>
  <cols>
    <col min="1" max="1" width="31.36328125" customWidth="1"/>
    <col min="2" max="2" width="11" bestFit="1" customWidth="1"/>
    <col min="3" max="3" width="1.36328125" customWidth="1"/>
    <col min="4" max="4" width="27.90625" customWidth="1"/>
    <col min="5" max="5" width="13.36328125" customWidth="1"/>
    <col min="6" max="6" width="1.08984375" customWidth="1"/>
    <col min="7" max="7" width="28.08984375" customWidth="1"/>
    <col min="8" max="8" width="18.36328125" bestFit="1" customWidth="1"/>
    <col min="9" max="9" width="17.6328125" bestFit="1" customWidth="1"/>
    <col min="10" max="10" width="26.36328125" bestFit="1" customWidth="1"/>
    <col min="11" max="12" width="23.453125" bestFit="1" customWidth="1"/>
    <col min="13" max="13" width="20.36328125" bestFit="1" customWidth="1"/>
    <col min="14" max="14" width="18.6328125" bestFit="1" customWidth="1"/>
    <col min="15" max="15" width="27.36328125" bestFit="1" customWidth="1"/>
    <col min="16" max="17" width="24.453125" bestFit="1" customWidth="1"/>
  </cols>
  <sheetData>
    <row r="1" spans="1:17" ht="15.5" x14ac:dyDescent="0.35">
      <c r="A1" s="24" t="s">
        <v>45</v>
      </c>
      <c r="B1" s="25"/>
      <c r="D1" s="24" t="s">
        <v>24</v>
      </c>
      <c r="E1" s="25"/>
      <c r="G1" s="26" t="s">
        <v>46</v>
      </c>
      <c r="H1" s="27"/>
      <c r="I1" s="27"/>
      <c r="J1" s="27"/>
      <c r="K1" s="27"/>
      <c r="L1" s="27"/>
      <c r="M1" s="27"/>
      <c r="N1" s="27"/>
      <c r="O1" s="27"/>
      <c r="P1" s="27"/>
      <c r="Q1" s="28"/>
    </row>
    <row r="2" spans="1:17" x14ac:dyDescent="0.35">
      <c r="A2" s="29"/>
      <c r="B2" s="30"/>
      <c r="D2" s="29"/>
      <c r="E2" s="30"/>
      <c r="G2" s="1" t="s">
        <v>0</v>
      </c>
      <c r="H2" s="31" t="s">
        <v>9</v>
      </c>
      <c r="I2" s="31" t="s">
        <v>10</v>
      </c>
      <c r="J2" s="31" t="s">
        <v>11</v>
      </c>
      <c r="K2" s="31" t="s">
        <v>12</v>
      </c>
      <c r="L2" s="31" t="s">
        <v>13</v>
      </c>
      <c r="M2" s="31" t="s">
        <v>14</v>
      </c>
      <c r="N2" s="31" t="s">
        <v>15</v>
      </c>
      <c r="O2" s="31" t="s">
        <v>16</v>
      </c>
      <c r="P2" s="31" t="s">
        <v>17</v>
      </c>
      <c r="Q2" s="31" t="s">
        <v>18</v>
      </c>
    </row>
    <row r="3" spans="1:17" x14ac:dyDescent="0.35">
      <c r="A3" s="32" t="s">
        <v>47</v>
      </c>
      <c r="B3" s="33"/>
      <c r="D3" s="32" t="s">
        <v>48</v>
      </c>
      <c r="E3" s="33"/>
      <c r="G3" s="2" t="s">
        <v>1</v>
      </c>
      <c r="H3" s="61">
        <f>B4</f>
        <v>19333.12</v>
      </c>
      <c r="I3" s="61">
        <f>B4</f>
        <v>19333.12</v>
      </c>
      <c r="J3" s="61">
        <f>B4</f>
        <v>19333.12</v>
      </c>
      <c r="K3" s="61">
        <f>B5</f>
        <v>9960.76</v>
      </c>
      <c r="L3" s="61">
        <f>B6</f>
        <v>5274.58</v>
      </c>
      <c r="M3" s="61">
        <f>B7</f>
        <v>9541.1200000000008</v>
      </c>
      <c r="N3" s="61">
        <f>B7</f>
        <v>9541.1200000000008</v>
      </c>
      <c r="O3" s="61">
        <f>B7</f>
        <v>9541.1200000000008</v>
      </c>
      <c r="P3" s="61">
        <f>B8</f>
        <v>5064.76</v>
      </c>
      <c r="Q3" s="61">
        <f>B9</f>
        <v>2826.58</v>
      </c>
    </row>
    <row r="4" spans="1:17" x14ac:dyDescent="0.35">
      <c r="A4" s="5" t="s">
        <v>25</v>
      </c>
      <c r="B4" s="6">
        <f>9666.56*2</f>
        <v>19333.12</v>
      </c>
      <c r="D4" s="5" t="s">
        <v>25</v>
      </c>
      <c r="E4" s="6">
        <v>9519.4599999999991</v>
      </c>
      <c r="G4" s="2" t="s">
        <v>2</v>
      </c>
      <c r="H4" s="61">
        <f>(B12+B13)/2</f>
        <v>8927</v>
      </c>
      <c r="I4" s="61">
        <f>(B12+B13)/2</f>
        <v>8927</v>
      </c>
      <c r="J4" s="62">
        <v>0</v>
      </c>
      <c r="K4" s="62">
        <v>0</v>
      </c>
      <c r="L4" s="62">
        <v>0</v>
      </c>
      <c r="M4" s="61">
        <f>(B12+B13)/2</f>
        <v>8927</v>
      </c>
      <c r="N4" s="61">
        <f>(B12+B13)/2</f>
        <v>8927</v>
      </c>
      <c r="O4" s="62">
        <v>0</v>
      </c>
      <c r="P4" s="62">
        <v>0</v>
      </c>
      <c r="Q4" s="62">
        <v>0</v>
      </c>
    </row>
    <row r="5" spans="1:17" x14ac:dyDescent="0.35">
      <c r="A5" s="5" t="s">
        <v>26</v>
      </c>
      <c r="B5" s="6">
        <f>4980.38*2</f>
        <v>9960.76</v>
      </c>
      <c r="D5" s="5" t="s">
        <v>26</v>
      </c>
      <c r="E5" s="6">
        <v>4833.28</v>
      </c>
      <c r="G5" s="2" t="s">
        <v>3</v>
      </c>
      <c r="H5" s="61">
        <f>B18</f>
        <v>956.8</v>
      </c>
      <c r="I5" s="61">
        <f>B18</f>
        <v>956.8</v>
      </c>
      <c r="J5" s="61">
        <f>B18</f>
        <v>956.8</v>
      </c>
      <c r="K5" s="61">
        <f>B19</f>
        <v>478.4</v>
      </c>
      <c r="L5" s="61">
        <f>B20</f>
        <v>239.2</v>
      </c>
      <c r="M5" s="61">
        <f>B18</f>
        <v>956.8</v>
      </c>
      <c r="N5" s="61">
        <f>B18</f>
        <v>956.8</v>
      </c>
      <c r="O5" s="61">
        <f>B18</f>
        <v>956.8</v>
      </c>
      <c r="P5" s="61">
        <f>B19</f>
        <v>478.4</v>
      </c>
      <c r="Q5" s="61">
        <f>B20</f>
        <v>239.2</v>
      </c>
    </row>
    <row r="6" spans="1:17" x14ac:dyDescent="0.35">
      <c r="A6" s="5" t="s">
        <v>27</v>
      </c>
      <c r="B6" s="6">
        <f>2637.29*2</f>
        <v>5274.58</v>
      </c>
      <c r="D6" s="5" t="s">
        <v>27</v>
      </c>
      <c r="E6" s="6">
        <v>2490.19</v>
      </c>
      <c r="G6" s="2" t="s">
        <v>4</v>
      </c>
      <c r="H6" s="61">
        <f>(B24+B25)/2</f>
        <v>1876</v>
      </c>
      <c r="I6" s="61">
        <f>(B24+B25)/2</f>
        <v>1876</v>
      </c>
      <c r="J6" s="61">
        <f>(B24+B25)/2</f>
        <v>1876</v>
      </c>
      <c r="K6" s="61">
        <f>J6/2</f>
        <v>938</v>
      </c>
      <c r="L6" s="61">
        <f>K6/2</f>
        <v>469</v>
      </c>
      <c r="M6" s="61">
        <f>(B24+B25)/2</f>
        <v>1876</v>
      </c>
      <c r="N6" s="61">
        <f>(B24+B25)/2</f>
        <v>1876</v>
      </c>
      <c r="O6" s="61">
        <f>(B24+B25)/2</f>
        <v>1876</v>
      </c>
      <c r="P6" s="61">
        <f>O6/2</f>
        <v>938</v>
      </c>
      <c r="Q6" s="61">
        <f>P6/2</f>
        <v>469</v>
      </c>
    </row>
    <row r="7" spans="1:17" x14ac:dyDescent="0.35">
      <c r="A7" s="5" t="s">
        <v>28</v>
      </c>
      <c r="B7" s="6">
        <f>4770.56*2</f>
        <v>9541.1200000000008</v>
      </c>
      <c r="D7" s="5" t="s">
        <v>28</v>
      </c>
      <c r="E7" s="6">
        <v>4623.46</v>
      </c>
      <c r="G7" s="2" t="s">
        <v>5</v>
      </c>
      <c r="H7" s="61">
        <f>B30</f>
        <v>2390</v>
      </c>
      <c r="I7" s="61">
        <f>B30</f>
        <v>2390</v>
      </c>
      <c r="J7" s="61">
        <f>(B30+B31)/2</f>
        <v>2390</v>
      </c>
      <c r="K7" s="61">
        <f>J7/2</f>
        <v>1195</v>
      </c>
      <c r="L7" s="61">
        <f>K7/2</f>
        <v>597.5</v>
      </c>
      <c r="M7" s="61">
        <f>B30</f>
        <v>2390</v>
      </c>
      <c r="N7" s="61">
        <f>B30</f>
        <v>2390</v>
      </c>
      <c r="O7" s="61">
        <f>B30</f>
        <v>2390</v>
      </c>
      <c r="P7" s="61">
        <f>O7/2</f>
        <v>1195</v>
      </c>
      <c r="Q7" s="61">
        <f>P7/2</f>
        <v>597.5</v>
      </c>
    </row>
    <row r="8" spans="1:17" x14ac:dyDescent="0.35">
      <c r="A8" s="5" t="s">
        <v>29</v>
      </c>
      <c r="B8" s="6">
        <f>2532.38*2</f>
        <v>5064.76</v>
      </c>
      <c r="D8" s="5" t="s">
        <v>29</v>
      </c>
      <c r="E8" s="6">
        <v>2385.2800000000002</v>
      </c>
      <c r="G8" s="2" t="s">
        <v>6</v>
      </c>
      <c r="H8" s="61">
        <f>B35+B36+B37</f>
        <v>3590</v>
      </c>
      <c r="I8" s="62">
        <v>0</v>
      </c>
      <c r="J8" s="62">
        <v>0</v>
      </c>
      <c r="K8" s="62">
        <v>0</v>
      </c>
      <c r="L8" s="62">
        <v>0</v>
      </c>
      <c r="M8" s="62">
        <f>H8</f>
        <v>3590</v>
      </c>
      <c r="N8" s="62">
        <v>0</v>
      </c>
      <c r="O8" s="62">
        <v>0</v>
      </c>
      <c r="P8" s="62">
        <v>0</v>
      </c>
      <c r="Q8" s="62">
        <v>0</v>
      </c>
    </row>
    <row r="9" spans="1:17" x14ac:dyDescent="0.35">
      <c r="A9" s="5" t="s">
        <v>30</v>
      </c>
      <c r="B9" s="6">
        <f>1413.29*2</f>
        <v>2826.58</v>
      </c>
      <c r="D9" s="5" t="s">
        <v>30</v>
      </c>
      <c r="E9" s="6">
        <v>1266.19</v>
      </c>
      <c r="G9" s="1" t="s">
        <v>7</v>
      </c>
      <c r="H9" s="34">
        <f>SUM(H3:H8)</f>
        <v>37072.92</v>
      </c>
      <c r="I9" s="34">
        <f>SUM(I3:I8)</f>
        <v>33482.92</v>
      </c>
      <c r="J9" s="34">
        <f t="shared" ref="J9:Q9" si="0">SUM(J3:J8)</f>
        <v>24555.919999999998</v>
      </c>
      <c r="K9" s="34">
        <f t="shared" si="0"/>
        <v>12572.16</v>
      </c>
      <c r="L9" s="34">
        <f t="shared" si="0"/>
        <v>6580.28</v>
      </c>
      <c r="M9" s="34">
        <f t="shared" si="0"/>
        <v>27280.920000000002</v>
      </c>
      <c r="N9" s="34">
        <f t="shared" si="0"/>
        <v>23690.920000000002</v>
      </c>
      <c r="O9" s="34">
        <f t="shared" si="0"/>
        <v>14763.92</v>
      </c>
      <c r="P9" s="34">
        <f t="shared" si="0"/>
        <v>7676.16</v>
      </c>
      <c r="Q9" s="34">
        <f t="shared" si="0"/>
        <v>4132.28</v>
      </c>
    </row>
    <row r="10" spans="1:17" x14ac:dyDescent="0.35">
      <c r="A10" s="29"/>
      <c r="B10" s="30"/>
      <c r="D10" s="29"/>
      <c r="E10" s="30"/>
      <c r="G10" s="35" t="s">
        <v>49</v>
      </c>
    </row>
    <row r="11" spans="1:17" x14ac:dyDescent="0.35">
      <c r="A11" s="32" t="s">
        <v>2</v>
      </c>
      <c r="B11" s="33"/>
      <c r="D11" s="32" t="s">
        <v>50</v>
      </c>
      <c r="E11" s="33"/>
    </row>
    <row r="12" spans="1:17" x14ac:dyDescent="0.35">
      <c r="A12" s="5" t="s">
        <v>51</v>
      </c>
      <c r="B12" s="6">
        <v>8888</v>
      </c>
      <c r="D12" s="5" t="s">
        <v>38</v>
      </c>
      <c r="E12" s="6">
        <f>B12/2/4*3</f>
        <v>3333</v>
      </c>
      <c r="G12" s="26" t="s">
        <v>52</v>
      </c>
      <c r="H12" s="27"/>
      <c r="I12" s="27"/>
      <c r="J12" s="27"/>
      <c r="K12" s="27"/>
      <c r="L12" s="27"/>
      <c r="M12" s="27"/>
      <c r="N12" s="27"/>
      <c r="O12" s="27"/>
      <c r="P12" s="27"/>
      <c r="Q12" s="28"/>
    </row>
    <row r="13" spans="1:17" x14ac:dyDescent="0.35">
      <c r="A13" s="5" t="s">
        <v>39</v>
      </c>
      <c r="B13" s="6">
        <v>8966</v>
      </c>
      <c r="D13" s="5" t="s">
        <v>39</v>
      </c>
      <c r="E13" s="6">
        <f t="shared" ref="E13:E14" si="1">B13/2/4*3</f>
        <v>3362.25</v>
      </c>
      <c r="G13" s="1" t="s">
        <v>0</v>
      </c>
      <c r="H13" s="31" t="s">
        <v>9</v>
      </c>
      <c r="I13" s="31" t="s">
        <v>10</v>
      </c>
      <c r="J13" s="31" t="s">
        <v>11</v>
      </c>
      <c r="K13" s="31" t="s">
        <v>12</v>
      </c>
      <c r="L13" s="31" t="s">
        <v>13</v>
      </c>
      <c r="M13" s="31" t="s">
        <v>14</v>
      </c>
      <c r="N13" s="31" t="s">
        <v>15</v>
      </c>
      <c r="O13" s="31" t="s">
        <v>16</v>
      </c>
      <c r="P13" s="31" t="s">
        <v>17</v>
      </c>
      <c r="Q13" s="31" t="s">
        <v>18</v>
      </c>
    </row>
    <row r="14" spans="1:17" x14ac:dyDescent="0.35">
      <c r="A14" s="5" t="s">
        <v>40</v>
      </c>
      <c r="B14" s="6">
        <v>2444</v>
      </c>
      <c r="D14" s="5" t="s">
        <v>40</v>
      </c>
      <c r="E14" s="6">
        <f t="shared" si="1"/>
        <v>916.5</v>
      </c>
      <c r="G14" s="2" t="s">
        <v>1</v>
      </c>
      <c r="H14" s="61">
        <f>E5</f>
        <v>4833.28</v>
      </c>
      <c r="I14" s="61">
        <f>E5</f>
        <v>4833.28</v>
      </c>
      <c r="J14" s="61">
        <f>E5</f>
        <v>4833.28</v>
      </c>
      <c r="K14" s="61">
        <f>E5</f>
        <v>4833.28</v>
      </c>
      <c r="L14" s="61">
        <f>E6</f>
        <v>2490.19</v>
      </c>
      <c r="M14" s="61">
        <f>E8</f>
        <v>2385.2800000000002</v>
      </c>
      <c r="N14" s="61">
        <f>E8</f>
        <v>2385.2800000000002</v>
      </c>
      <c r="O14" s="61">
        <f>E8</f>
        <v>2385.2800000000002</v>
      </c>
      <c r="P14" s="61">
        <f>E8</f>
        <v>2385.2800000000002</v>
      </c>
      <c r="Q14" s="61">
        <f>E9</f>
        <v>1266.19</v>
      </c>
    </row>
    <row r="15" spans="1:17" x14ac:dyDescent="0.35">
      <c r="A15" s="36" t="s">
        <v>53</v>
      </c>
      <c r="B15" s="37"/>
      <c r="D15" s="38" t="s">
        <v>53</v>
      </c>
      <c r="E15" s="37"/>
      <c r="G15" s="2" t="s">
        <v>2</v>
      </c>
      <c r="H15" s="61">
        <f>(E12+E13)/2</f>
        <v>3347.625</v>
      </c>
      <c r="I15" s="61">
        <f>(E12+E13)/2</f>
        <v>3347.625</v>
      </c>
      <c r="J15" s="62">
        <v>0</v>
      </c>
      <c r="K15" s="62">
        <v>0</v>
      </c>
      <c r="L15" s="62">
        <v>0</v>
      </c>
      <c r="M15" s="61">
        <f>(E12+E13)/2</f>
        <v>3347.625</v>
      </c>
      <c r="N15" s="61">
        <f>(E12+E13)/2</f>
        <v>3347.625</v>
      </c>
      <c r="O15" s="62">
        <v>0</v>
      </c>
      <c r="P15" s="62">
        <v>0</v>
      </c>
      <c r="Q15" s="62">
        <v>0</v>
      </c>
    </row>
    <row r="16" spans="1:17" x14ac:dyDescent="0.35">
      <c r="A16" s="29"/>
      <c r="B16" s="30"/>
      <c r="D16" s="29"/>
      <c r="E16" s="30"/>
      <c r="G16" s="2" t="s">
        <v>3</v>
      </c>
      <c r="H16" s="61">
        <f>E19</f>
        <v>478.4</v>
      </c>
      <c r="I16" s="61">
        <f>E19</f>
        <v>478.4</v>
      </c>
      <c r="J16" s="61">
        <f>E19</f>
        <v>478.4</v>
      </c>
      <c r="K16" s="61">
        <f>E19</f>
        <v>478.4</v>
      </c>
      <c r="L16" s="61">
        <f>E20</f>
        <v>239.2</v>
      </c>
      <c r="M16" s="61">
        <f>E19</f>
        <v>478.4</v>
      </c>
      <c r="N16" s="61">
        <f>E19</f>
        <v>478.4</v>
      </c>
      <c r="O16" s="61">
        <f>E19</f>
        <v>478.4</v>
      </c>
      <c r="P16" s="61">
        <f>E19</f>
        <v>478.4</v>
      </c>
      <c r="Q16" s="61">
        <f>E20</f>
        <v>239.2</v>
      </c>
    </row>
    <row r="17" spans="1:17" x14ac:dyDescent="0.35">
      <c r="A17" s="32" t="s">
        <v>54</v>
      </c>
      <c r="B17" s="39"/>
      <c r="D17" s="32" t="s">
        <v>55</v>
      </c>
      <c r="E17" s="39"/>
      <c r="G17" s="2" t="s">
        <v>4</v>
      </c>
      <c r="H17" s="61">
        <f>(E24+E25)/2</f>
        <v>703.5</v>
      </c>
      <c r="I17" s="61">
        <f>(E24+E25)/2</f>
        <v>703.5</v>
      </c>
      <c r="J17" s="61">
        <f>(E24+E25)/2</f>
        <v>703.5</v>
      </c>
      <c r="K17" s="61">
        <f>(E24+E25)/2</f>
        <v>703.5</v>
      </c>
      <c r="L17" s="61">
        <f>K17/2</f>
        <v>351.75</v>
      </c>
      <c r="M17" s="61">
        <f>(E24+E25)/2</f>
        <v>703.5</v>
      </c>
      <c r="N17" s="61">
        <f>(E24+E25)/2</f>
        <v>703.5</v>
      </c>
      <c r="O17" s="61">
        <f>(E24+E25)/2</f>
        <v>703.5</v>
      </c>
      <c r="P17" s="61">
        <f>(E24+E25)/2</f>
        <v>703.5</v>
      </c>
      <c r="Q17" s="61">
        <f>P17/2</f>
        <v>351.75</v>
      </c>
    </row>
    <row r="18" spans="1:17" x14ac:dyDescent="0.35">
      <c r="A18" s="5" t="s">
        <v>35</v>
      </c>
      <c r="B18" s="6">
        <f>1196/15*12</f>
        <v>956.8</v>
      </c>
      <c r="D18" s="5" t="s">
        <v>35</v>
      </c>
      <c r="E18" s="6">
        <f>1196/15*12</f>
        <v>956.8</v>
      </c>
      <c r="G18" s="2" t="s">
        <v>5</v>
      </c>
      <c r="H18" s="61">
        <f>E30</f>
        <v>896.25</v>
      </c>
      <c r="I18" s="61">
        <f>E30</f>
        <v>896.25</v>
      </c>
      <c r="J18" s="61">
        <f>(E30+E31)/2</f>
        <v>896.25</v>
      </c>
      <c r="K18" s="61">
        <f>E30</f>
        <v>896.25</v>
      </c>
      <c r="L18" s="61">
        <f>K18/2</f>
        <v>448.125</v>
      </c>
      <c r="M18" s="61">
        <f>E30</f>
        <v>896.25</v>
      </c>
      <c r="N18" s="61">
        <f>E30</f>
        <v>896.25</v>
      </c>
      <c r="O18" s="61">
        <f>E30</f>
        <v>896.25</v>
      </c>
      <c r="P18" s="61">
        <f>E30</f>
        <v>896.25</v>
      </c>
      <c r="Q18" s="61">
        <f>P18/2</f>
        <v>448.125</v>
      </c>
    </row>
    <row r="19" spans="1:17" x14ac:dyDescent="0.35">
      <c r="A19" s="5" t="s">
        <v>36</v>
      </c>
      <c r="B19" s="6">
        <f>1196/15*6</f>
        <v>478.4</v>
      </c>
      <c r="D19" s="5" t="s">
        <v>36</v>
      </c>
      <c r="E19" s="6">
        <f>1196/15*6</f>
        <v>478.4</v>
      </c>
      <c r="G19" s="2" t="s">
        <v>6</v>
      </c>
      <c r="H19" s="61">
        <f>E35</f>
        <v>835</v>
      </c>
      <c r="I19" s="62">
        <v>0</v>
      </c>
      <c r="J19" s="62">
        <v>0</v>
      </c>
      <c r="K19" s="62">
        <v>0</v>
      </c>
      <c r="L19" s="62">
        <v>0</v>
      </c>
      <c r="M19" s="61">
        <f>E35</f>
        <v>835</v>
      </c>
      <c r="N19" s="62">
        <v>0</v>
      </c>
      <c r="O19" s="62">
        <v>0</v>
      </c>
      <c r="P19" s="62">
        <v>0</v>
      </c>
      <c r="Q19" s="62">
        <v>0</v>
      </c>
    </row>
    <row r="20" spans="1:17" x14ac:dyDescent="0.35">
      <c r="A20" s="5" t="s">
        <v>37</v>
      </c>
      <c r="B20" s="6">
        <f>1196/15*3</f>
        <v>239.2</v>
      </c>
      <c r="D20" s="5" t="s">
        <v>37</v>
      </c>
      <c r="E20" s="6">
        <f>1196/15*3</f>
        <v>239.2</v>
      </c>
      <c r="G20" s="1" t="s">
        <v>7</v>
      </c>
      <c r="H20" s="34">
        <f>SUM(H14:H19)</f>
        <v>11094.055</v>
      </c>
      <c r="I20" s="34">
        <f t="shared" ref="I20:Q20" si="2">SUM(I14:I19)</f>
        <v>10259.055</v>
      </c>
      <c r="J20" s="34">
        <f t="shared" si="2"/>
        <v>6911.4299999999994</v>
      </c>
      <c r="K20" s="34">
        <f t="shared" si="2"/>
        <v>6911.4299999999994</v>
      </c>
      <c r="L20" s="34">
        <f t="shared" si="2"/>
        <v>3529.2649999999999</v>
      </c>
      <c r="M20" s="34">
        <f t="shared" si="2"/>
        <v>8646.0550000000003</v>
      </c>
      <c r="N20" s="34">
        <f t="shared" si="2"/>
        <v>7811.0550000000003</v>
      </c>
      <c r="O20" s="34">
        <f t="shared" si="2"/>
        <v>4463.43</v>
      </c>
      <c r="P20" s="34">
        <f t="shared" si="2"/>
        <v>4463.43</v>
      </c>
      <c r="Q20" s="34">
        <f t="shared" si="2"/>
        <v>2305.2650000000003</v>
      </c>
    </row>
    <row r="21" spans="1:17" x14ac:dyDescent="0.35">
      <c r="A21" s="38" t="s">
        <v>56</v>
      </c>
      <c r="B21" s="30"/>
      <c r="D21" s="38" t="s">
        <v>53</v>
      </c>
      <c r="E21" s="30"/>
      <c r="G21" s="35" t="s">
        <v>57</v>
      </c>
    </row>
    <row r="22" spans="1:17" x14ac:dyDescent="0.35">
      <c r="A22" s="29"/>
      <c r="B22" s="30"/>
      <c r="D22" s="29"/>
      <c r="E22" s="30"/>
    </row>
    <row r="23" spans="1:17" x14ac:dyDescent="0.35">
      <c r="A23" s="32" t="s">
        <v>58</v>
      </c>
      <c r="B23" s="33"/>
      <c r="D23" s="32" t="s">
        <v>59</v>
      </c>
      <c r="E23" s="33"/>
      <c r="G23" s="26" t="s">
        <v>60</v>
      </c>
      <c r="H23" s="27"/>
      <c r="I23" s="27"/>
      <c r="J23" s="27"/>
      <c r="K23" s="27"/>
      <c r="L23" s="27"/>
      <c r="M23" s="27"/>
      <c r="N23" s="27"/>
      <c r="O23" s="27"/>
      <c r="P23" s="27"/>
      <c r="Q23" s="28"/>
    </row>
    <row r="24" spans="1:17" x14ac:dyDescent="0.35">
      <c r="A24" s="5" t="s">
        <v>38</v>
      </c>
      <c r="B24" s="6">
        <v>1230</v>
      </c>
      <c r="D24" s="5" t="s">
        <v>38</v>
      </c>
      <c r="E24" s="6">
        <f>B24/2/4*3</f>
        <v>461.25</v>
      </c>
      <c r="G24" s="1" t="s">
        <v>0</v>
      </c>
      <c r="H24" s="31" t="s">
        <v>9</v>
      </c>
      <c r="I24" s="31" t="s">
        <v>10</v>
      </c>
      <c r="J24" s="31" t="s">
        <v>11</v>
      </c>
      <c r="K24" s="31" t="s">
        <v>12</v>
      </c>
      <c r="L24" s="31" t="s">
        <v>13</v>
      </c>
      <c r="M24" s="31" t="s">
        <v>14</v>
      </c>
      <c r="N24" s="31" t="s">
        <v>15</v>
      </c>
      <c r="O24" s="31" t="s">
        <v>16</v>
      </c>
      <c r="P24" s="31" t="s">
        <v>17</v>
      </c>
      <c r="Q24" s="31" t="s">
        <v>18</v>
      </c>
    </row>
    <row r="25" spans="1:17" x14ac:dyDescent="0.35">
      <c r="A25" s="5" t="s">
        <v>39</v>
      </c>
      <c r="B25" s="6">
        <v>2522</v>
      </c>
      <c r="D25" s="5" t="s">
        <v>39</v>
      </c>
      <c r="E25" s="6">
        <f>B25/2/4*3</f>
        <v>945.75</v>
      </c>
      <c r="G25" s="2" t="s">
        <v>1</v>
      </c>
      <c r="H25" s="61">
        <f>B4</f>
        <v>19333.12</v>
      </c>
      <c r="I25" s="61">
        <f>B4</f>
        <v>19333.12</v>
      </c>
      <c r="J25" s="61">
        <f>B4</f>
        <v>19333.12</v>
      </c>
      <c r="K25" s="61">
        <f>B5</f>
        <v>9960.76</v>
      </c>
      <c r="L25" s="61">
        <f>B6</f>
        <v>5274.58</v>
      </c>
      <c r="M25" s="61">
        <f>B7</f>
        <v>9541.1200000000008</v>
      </c>
      <c r="N25" s="61">
        <f>B7</f>
        <v>9541.1200000000008</v>
      </c>
      <c r="O25" s="61">
        <f>B7</f>
        <v>9541.1200000000008</v>
      </c>
      <c r="P25" s="61">
        <f>B8</f>
        <v>5064.76</v>
      </c>
      <c r="Q25" s="61">
        <f>B9</f>
        <v>2826.58</v>
      </c>
    </row>
    <row r="26" spans="1:17" x14ac:dyDescent="0.35">
      <c r="A26" s="5" t="s">
        <v>40</v>
      </c>
      <c r="B26" s="6">
        <v>2522</v>
      </c>
      <c r="D26" s="5" t="s">
        <v>40</v>
      </c>
      <c r="E26" s="6">
        <f>B26/2/4*3</f>
        <v>945.75</v>
      </c>
      <c r="G26" s="2" t="s">
        <v>2</v>
      </c>
      <c r="H26" s="61">
        <f>B14</f>
        <v>2444</v>
      </c>
      <c r="I26" s="61">
        <f>B14</f>
        <v>2444</v>
      </c>
      <c r="J26" s="62">
        <v>0</v>
      </c>
      <c r="K26" s="62">
        <v>0</v>
      </c>
      <c r="L26" s="62">
        <v>0</v>
      </c>
      <c r="M26" s="61">
        <f>B14</f>
        <v>2444</v>
      </c>
      <c r="N26" s="61">
        <f>B14</f>
        <v>2444</v>
      </c>
      <c r="O26" s="62">
        <v>0</v>
      </c>
      <c r="P26" s="62">
        <v>0</v>
      </c>
      <c r="Q26" s="62">
        <v>0</v>
      </c>
    </row>
    <row r="27" spans="1:17" x14ac:dyDescent="0.35">
      <c r="A27" s="38" t="s">
        <v>56</v>
      </c>
      <c r="B27" s="30"/>
      <c r="D27" s="38" t="s">
        <v>53</v>
      </c>
      <c r="E27" s="30"/>
      <c r="G27" s="2" t="s">
        <v>3</v>
      </c>
      <c r="H27" s="61">
        <f>B18</f>
        <v>956.8</v>
      </c>
      <c r="I27" s="61">
        <f>B18</f>
        <v>956.8</v>
      </c>
      <c r="J27" s="61">
        <f>B18</f>
        <v>956.8</v>
      </c>
      <c r="K27" s="61">
        <f>B19</f>
        <v>478.4</v>
      </c>
      <c r="L27" s="61">
        <f>B20</f>
        <v>239.2</v>
      </c>
      <c r="M27" s="61">
        <f>B18</f>
        <v>956.8</v>
      </c>
      <c r="N27" s="61">
        <f>B18</f>
        <v>956.8</v>
      </c>
      <c r="O27" s="61">
        <f>B18</f>
        <v>956.8</v>
      </c>
      <c r="P27" s="61">
        <f>B19</f>
        <v>478.4</v>
      </c>
      <c r="Q27" s="61">
        <f>B20</f>
        <v>239.2</v>
      </c>
    </row>
    <row r="28" spans="1:17" x14ac:dyDescent="0.35">
      <c r="A28" s="29"/>
      <c r="B28" s="30"/>
      <c r="D28" s="29"/>
      <c r="E28" s="30"/>
      <c r="G28" s="2" t="s">
        <v>4</v>
      </c>
      <c r="H28" s="61">
        <f>B26</f>
        <v>2522</v>
      </c>
      <c r="I28" s="61">
        <f>B26</f>
        <v>2522</v>
      </c>
      <c r="J28" s="61">
        <f>B26</f>
        <v>2522</v>
      </c>
      <c r="K28" s="61">
        <f>J28/2</f>
        <v>1261</v>
      </c>
      <c r="L28" s="61">
        <f>K28/2</f>
        <v>630.5</v>
      </c>
      <c r="M28" s="61">
        <f>B26</f>
        <v>2522</v>
      </c>
      <c r="N28" s="61">
        <f>B26</f>
        <v>2522</v>
      </c>
      <c r="O28" s="61">
        <f>B26</f>
        <v>2522</v>
      </c>
      <c r="P28" s="61">
        <f>O28/2</f>
        <v>1261</v>
      </c>
      <c r="Q28" s="61">
        <f>P28/2</f>
        <v>630.5</v>
      </c>
    </row>
    <row r="29" spans="1:17" x14ac:dyDescent="0.35">
      <c r="A29" s="32" t="s">
        <v>5</v>
      </c>
      <c r="B29" s="39"/>
      <c r="D29" s="32" t="s">
        <v>61</v>
      </c>
      <c r="E29" s="39"/>
      <c r="G29" s="2" t="s">
        <v>5</v>
      </c>
      <c r="H29" s="61">
        <f>B32</f>
        <v>2184</v>
      </c>
      <c r="I29" s="61">
        <f>B32</f>
        <v>2184</v>
      </c>
      <c r="J29" s="61">
        <f>B32</f>
        <v>2184</v>
      </c>
      <c r="K29" s="61">
        <f>J29/2</f>
        <v>1092</v>
      </c>
      <c r="L29" s="61">
        <f>K29/2</f>
        <v>546</v>
      </c>
      <c r="M29" s="61">
        <f>B32</f>
        <v>2184</v>
      </c>
      <c r="N29" s="61">
        <f>B32</f>
        <v>2184</v>
      </c>
      <c r="O29" s="61">
        <f>B32</f>
        <v>2184</v>
      </c>
      <c r="P29" s="61">
        <f>O29/2</f>
        <v>1092</v>
      </c>
      <c r="Q29" s="61">
        <f>P29/2</f>
        <v>546</v>
      </c>
    </row>
    <row r="30" spans="1:17" x14ac:dyDescent="0.35">
      <c r="A30" s="5" t="s">
        <v>38</v>
      </c>
      <c r="B30" s="6">
        <v>2390</v>
      </c>
      <c r="D30" s="5" t="s">
        <v>38</v>
      </c>
      <c r="E30" s="6">
        <f>B30/2/4*3</f>
        <v>896.25</v>
      </c>
      <c r="G30" s="2" t="s">
        <v>6</v>
      </c>
      <c r="H30" s="61">
        <f>B35+B36+B37</f>
        <v>3590</v>
      </c>
      <c r="I30" s="62">
        <v>0</v>
      </c>
      <c r="J30" s="62">
        <v>0</v>
      </c>
      <c r="K30" s="62">
        <v>0</v>
      </c>
      <c r="L30" s="62">
        <v>0</v>
      </c>
      <c r="M30" s="61">
        <f>M8</f>
        <v>3590</v>
      </c>
      <c r="N30" s="62">
        <v>0</v>
      </c>
      <c r="O30" s="62">
        <v>0</v>
      </c>
      <c r="P30" s="62">
        <v>0</v>
      </c>
      <c r="Q30" s="62">
        <v>0</v>
      </c>
    </row>
    <row r="31" spans="1:17" x14ac:dyDescent="0.35">
      <c r="A31" s="5" t="s">
        <v>39</v>
      </c>
      <c r="B31" s="6">
        <v>2390</v>
      </c>
      <c r="D31" s="5" t="s">
        <v>39</v>
      </c>
      <c r="E31" s="6">
        <f>B31/2/4*3</f>
        <v>896.25</v>
      </c>
      <c r="G31" s="1" t="s">
        <v>7</v>
      </c>
      <c r="H31" s="34">
        <f>SUM(H25:H30)</f>
        <v>31029.919999999998</v>
      </c>
      <c r="I31" s="34">
        <f t="shared" ref="I31:Q31" si="3">SUM(I25:I30)</f>
        <v>27439.919999999998</v>
      </c>
      <c r="J31" s="34">
        <f t="shared" si="3"/>
        <v>24995.919999999998</v>
      </c>
      <c r="K31" s="34">
        <f t="shared" si="3"/>
        <v>12792.16</v>
      </c>
      <c r="L31" s="34">
        <f t="shared" si="3"/>
        <v>6690.28</v>
      </c>
      <c r="M31" s="34">
        <f t="shared" si="3"/>
        <v>21237.919999999998</v>
      </c>
      <c r="N31" s="34">
        <f t="shared" si="3"/>
        <v>17647.919999999998</v>
      </c>
      <c r="O31" s="34">
        <f t="shared" si="3"/>
        <v>15203.92</v>
      </c>
      <c r="P31" s="34">
        <f t="shared" si="3"/>
        <v>7896.16</v>
      </c>
      <c r="Q31" s="34">
        <f t="shared" si="3"/>
        <v>4242.28</v>
      </c>
    </row>
    <row r="32" spans="1:17" x14ac:dyDescent="0.35">
      <c r="A32" s="5" t="s">
        <v>40</v>
      </c>
      <c r="B32" s="6">
        <v>2184</v>
      </c>
      <c r="D32" s="5" t="s">
        <v>40</v>
      </c>
      <c r="E32" s="6">
        <f>B32/2/4*3</f>
        <v>819</v>
      </c>
      <c r="G32" s="35" t="s">
        <v>49</v>
      </c>
    </row>
    <row r="33" spans="1:12" x14ac:dyDescent="0.35">
      <c r="A33" s="29"/>
      <c r="B33" s="30"/>
      <c r="D33" s="29"/>
      <c r="E33" s="30"/>
    </row>
    <row r="34" spans="1:12" x14ac:dyDescent="0.35">
      <c r="A34" s="32" t="s">
        <v>62</v>
      </c>
      <c r="B34" s="39"/>
      <c r="D34" s="32" t="s">
        <v>62</v>
      </c>
      <c r="E34" s="39"/>
    </row>
    <row r="35" spans="1:12" ht="15" thickBot="1" x14ac:dyDescent="0.4">
      <c r="A35" s="5" t="s">
        <v>22</v>
      </c>
      <c r="B35" s="6">
        <f>277+1107</f>
        <v>1384</v>
      </c>
      <c r="D35" s="12" t="s">
        <v>24</v>
      </c>
      <c r="E35" s="14">
        <v>835</v>
      </c>
    </row>
    <row r="36" spans="1:12" x14ac:dyDescent="0.35">
      <c r="A36" s="11" t="s">
        <v>23</v>
      </c>
      <c r="B36" s="13">
        <v>1371</v>
      </c>
    </row>
    <row r="37" spans="1:12" ht="15" thickBot="1" x14ac:dyDescent="0.4">
      <c r="A37" s="12" t="s">
        <v>24</v>
      </c>
      <c r="B37" s="14">
        <f>381+454</f>
        <v>835</v>
      </c>
    </row>
    <row r="38" spans="1:12" x14ac:dyDescent="0.35">
      <c r="B38" s="40">
        <f>SUM(B35:B37)</f>
        <v>3590</v>
      </c>
    </row>
    <row r="39" spans="1:12" ht="29" x14ac:dyDescent="0.35">
      <c r="G39" s="1" t="s">
        <v>0</v>
      </c>
      <c r="H39" s="31" t="s">
        <v>63</v>
      </c>
      <c r="I39" s="31" t="s">
        <v>64</v>
      </c>
      <c r="J39" s="41" t="s">
        <v>65</v>
      </c>
      <c r="K39" s="31" t="s">
        <v>24</v>
      </c>
      <c r="L39" s="31" t="s">
        <v>66</v>
      </c>
    </row>
    <row r="40" spans="1:12" x14ac:dyDescent="0.35">
      <c r="G40" s="2" t="s">
        <v>9</v>
      </c>
      <c r="H40" s="42" t="s">
        <v>67</v>
      </c>
      <c r="I40" s="43">
        <f>H31</f>
        <v>31029.919999999998</v>
      </c>
      <c r="J40" s="43">
        <f>H9</f>
        <v>37072.92</v>
      </c>
      <c r="K40" s="43">
        <f>H20</f>
        <v>11094.055</v>
      </c>
      <c r="L40" s="63" t="s">
        <v>68</v>
      </c>
    </row>
    <row r="41" spans="1:12" x14ac:dyDescent="0.35">
      <c r="G41" s="2" t="s">
        <v>10</v>
      </c>
      <c r="H41" s="42" t="s">
        <v>67</v>
      </c>
      <c r="I41" s="43">
        <f>I31</f>
        <v>27439.919999999998</v>
      </c>
      <c r="J41" s="43">
        <f>I9</f>
        <v>33482.92</v>
      </c>
      <c r="K41" s="43">
        <f>I20</f>
        <v>10259.055</v>
      </c>
      <c r="L41" s="63" t="s">
        <v>68</v>
      </c>
    </row>
    <row r="42" spans="1:12" x14ac:dyDescent="0.35">
      <c r="G42" s="2" t="s">
        <v>11</v>
      </c>
      <c r="H42" s="42" t="s">
        <v>67</v>
      </c>
      <c r="I42" s="43">
        <f>J31</f>
        <v>24995.919999999998</v>
      </c>
      <c r="J42" s="43">
        <f>J9</f>
        <v>24555.919999999998</v>
      </c>
      <c r="K42" s="43">
        <f>J20</f>
        <v>6911.4299999999994</v>
      </c>
      <c r="L42" s="63" t="s">
        <v>68</v>
      </c>
    </row>
    <row r="43" spans="1:12" x14ac:dyDescent="0.35">
      <c r="G43" s="2" t="s">
        <v>12</v>
      </c>
      <c r="H43" s="42" t="s">
        <v>67</v>
      </c>
      <c r="I43" s="43">
        <f>K31</f>
        <v>12792.16</v>
      </c>
      <c r="J43" s="43">
        <f>K9</f>
        <v>12572.16</v>
      </c>
      <c r="K43" s="43">
        <f>K20</f>
        <v>6911.4299999999994</v>
      </c>
      <c r="L43" s="63" t="s">
        <v>68</v>
      </c>
    </row>
    <row r="44" spans="1:12" x14ac:dyDescent="0.35">
      <c r="G44" s="2" t="s">
        <v>13</v>
      </c>
      <c r="H44" s="42" t="s">
        <v>67</v>
      </c>
      <c r="I44" s="43">
        <f>L31</f>
        <v>6690.28</v>
      </c>
      <c r="J44" s="43">
        <f>L9</f>
        <v>6580.28</v>
      </c>
      <c r="K44" s="43">
        <f>L20</f>
        <v>3529.2649999999999</v>
      </c>
      <c r="L44" s="63" t="s">
        <v>68</v>
      </c>
    </row>
    <row r="45" spans="1:12" x14ac:dyDescent="0.35">
      <c r="G45" s="2" t="s">
        <v>14</v>
      </c>
      <c r="H45" s="42" t="s">
        <v>67</v>
      </c>
      <c r="I45" s="43">
        <f>M31</f>
        <v>21237.919999999998</v>
      </c>
      <c r="J45" s="43">
        <f>M9</f>
        <v>27280.920000000002</v>
      </c>
      <c r="K45" s="43">
        <f>M20</f>
        <v>8646.0550000000003</v>
      </c>
      <c r="L45" s="63" t="s">
        <v>69</v>
      </c>
    </row>
    <row r="46" spans="1:12" x14ac:dyDescent="0.35">
      <c r="G46" s="2" t="s">
        <v>15</v>
      </c>
      <c r="H46" s="42" t="s">
        <v>67</v>
      </c>
      <c r="I46" s="43">
        <f>N31</f>
        <v>17647.919999999998</v>
      </c>
      <c r="J46" s="43">
        <f>N9</f>
        <v>23690.920000000002</v>
      </c>
      <c r="K46" s="43">
        <f>N20</f>
        <v>7811.0550000000003</v>
      </c>
      <c r="L46" s="63" t="s">
        <v>69</v>
      </c>
    </row>
    <row r="47" spans="1:12" x14ac:dyDescent="0.35">
      <c r="G47" s="2" t="s">
        <v>16</v>
      </c>
      <c r="H47" s="42" t="s">
        <v>67</v>
      </c>
      <c r="I47" s="43">
        <f>O31</f>
        <v>15203.92</v>
      </c>
      <c r="J47" s="43">
        <f>O9</f>
        <v>14763.92</v>
      </c>
      <c r="K47" s="43">
        <f>O20</f>
        <v>4463.43</v>
      </c>
      <c r="L47" s="63" t="s">
        <v>69</v>
      </c>
    </row>
    <row r="48" spans="1:12" x14ac:dyDescent="0.35">
      <c r="G48" s="2" t="s">
        <v>17</v>
      </c>
      <c r="H48" s="42" t="s">
        <v>67</v>
      </c>
      <c r="I48" s="43">
        <f>P31</f>
        <v>7896.16</v>
      </c>
      <c r="J48" s="43">
        <f>P9</f>
        <v>7676.16</v>
      </c>
      <c r="K48" s="43">
        <f>P20</f>
        <v>4463.43</v>
      </c>
      <c r="L48" s="63" t="s">
        <v>69</v>
      </c>
    </row>
    <row r="49" spans="7:12" x14ac:dyDescent="0.35">
      <c r="G49" s="2" t="s">
        <v>18</v>
      </c>
      <c r="H49" s="42" t="s">
        <v>67</v>
      </c>
      <c r="I49" s="43">
        <f>Q31</f>
        <v>4242.28</v>
      </c>
      <c r="J49" s="43">
        <f>Q9</f>
        <v>4132.28</v>
      </c>
      <c r="K49" s="43">
        <f>Q20</f>
        <v>2305.2650000000003</v>
      </c>
      <c r="L49" s="63" t="s">
        <v>69</v>
      </c>
    </row>
    <row r="50" spans="7:12" x14ac:dyDescent="0.35">
      <c r="G50" s="44" t="s">
        <v>70</v>
      </c>
    </row>
    <row r="51" spans="7:12" x14ac:dyDescent="0.35">
      <c r="G51" s="44" t="s">
        <v>71</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1457-684B-4ADF-A2EE-4377B9C33445}">
  <sheetPr>
    <tabColor rgb="FF0070C0"/>
  </sheetPr>
  <dimension ref="A1:Q50"/>
  <sheetViews>
    <sheetView showGridLines="0" topLeftCell="K16" zoomScaleNormal="100" workbookViewId="0">
      <selection activeCell="D10" sqref="D10"/>
    </sheetView>
  </sheetViews>
  <sheetFormatPr defaultRowHeight="14.5" x14ac:dyDescent="0.35"/>
  <cols>
    <col min="1" max="1" width="31.90625" customWidth="1"/>
    <col min="2" max="2" width="9.08984375" bestFit="1" customWidth="1"/>
    <col min="3" max="3" width="1.36328125" customWidth="1"/>
    <col min="4" max="4" width="28.08984375" customWidth="1"/>
    <col min="5" max="5" width="13.36328125" customWidth="1"/>
    <col min="6" max="6" width="1.08984375" customWidth="1"/>
    <col min="7" max="7" width="26.6328125" customWidth="1"/>
    <col min="8" max="8" width="18.36328125" bestFit="1" customWidth="1"/>
    <col min="9" max="9" width="20.08984375" bestFit="1" customWidth="1"/>
    <col min="10" max="10" width="26.36328125" bestFit="1" customWidth="1"/>
    <col min="11" max="12" width="23.453125" bestFit="1" customWidth="1"/>
    <col min="13" max="13" width="20.36328125" bestFit="1" customWidth="1"/>
    <col min="14" max="14" width="18.6328125" bestFit="1" customWidth="1"/>
    <col min="15" max="15" width="27.36328125" bestFit="1" customWidth="1"/>
    <col min="16" max="17" width="24.453125" bestFit="1" customWidth="1"/>
  </cols>
  <sheetData>
    <row r="1" spans="1:17" ht="15.5" x14ac:dyDescent="0.35">
      <c r="A1" s="45" t="s">
        <v>45</v>
      </c>
      <c r="B1" s="46"/>
      <c r="D1" s="45" t="s">
        <v>24</v>
      </c>
      <c r="E1" s="46"/>
      <c r="G1" s="47" t="s">
        <v>46</v>
      </c>
      <c r="H1" s="48"/>
      <c r="I1" s="48"/>
      <c r="J1" s="48"/>
      <c r="K1" s="48"/>
      <c r="L1" s="48"/>
      <c r="M1" s="48"/>
      <c r="N1" s="48"/>
      <c r="O1" s="48"/>
      <c r="P1" s="48"/>
      <c r="Q1" s="49"/>
    </row>
    <row r="2" spans="1:17" x14ac:dyDescent="0.35">
      <c r="A2" s="29"/>
      <c r="B2" s="30"/>
      <c r="D2" s="29"/>
      <c r="E2" s="30"/>
      <c r="G2" s="1" t="s">
        <v>8</v>
      </c>
      <c r="H2" s="31" t="s">
        <v>9</v>
      </c>
      <c r="I2" s="31" t="s">
        <v>10</v>
      </c>
      <c r="J2" s="31" t="s">
        <v>11</v>
      </c>
      <c r="K2" s="31" t="s">
        <v>12</v>
      </c>
      <c r="L2" s="31" t="s">
        <v>13</v>
      </c>
      <c r="M2" s="31" t="s">
        <v>14</v>
      </c>
      <c r="N2" s="31" t="s">
        <v>15</v>
      </c>
      <c r="O2" s="31" t="s">
        <v>16</v>
      </c>
      <c r="P2" s="31" t="s">
        <v>17</v>
      </c>
      <c r="Q2" s="31" t="s">
        <v>18</v>
      </c>
    </row>
    <row r="3" spans="1:17" x14ac:dyDescent="0.35">
      <c r="A3" s="32" t="s">
        <v>47</v>
      </c>
      <c r="B3" s="33"/>
      <c r="D3" s="32" t="s">
        <v>105</v>
      </c>
      <c r="E3" s="33"/>
      <c r="G3" s="2" t="s">
        <v>1</v>
      </c>
      <c r="H3" s="69">
        <f>B4</f>
        <v>15676.54</v>
      </c>
      <c r="I3" s="69">
        <f>B4</f>
        <v>15676.54</v>
      </c>
      <c r="J3" s="69">
        <f>B4</f>
        <v>15676.54</v>
      </c>
      <c r="K3" s="69">
        <f>B5</f>
        <v>10647.16</v>
      </c>
      <c r="L3" s="69">
        <f>B6</f>
        <v>5617.78</v>
      </c>
      <c r="M3" s="69">
        <f>B7</f>
        <v>8332.5400000000009</v>
      </c>
      <c r="N3" s="69">
        <f>B7</f>
        <v>8332.5400000000009</v>
      </c>
      <c r="O3" s="69">
        <f>B7</f>
        <v>8332.5400000000009</v>
      </c>
      <c r="P3" s="69">
        <f>B8</f>
        <v>5751.16</v>
      </c>
      <c r="Q3" s="69">
        <f>B9</f>
        <v>3169.78</v>
      </c>
    </row>
    <row r="4" spans="1:17" x14ac:dyDescent="0.35">
      <c r="A4" s="5" t="s">
        <v>72</v>
      </c>
      <c r="B4" s="6">
        <f>7838.27*2</f>
        <v>15676.54</v>
      </c>
      <c r="D4" s="5" t="s">
        <v>72</v>
      </c>
      <c r="E4" s="6">
        <v>7691.17</v>
      </c>
      <c r="G4" s="2" t="s">
        <v>2</v>
      </c>
      <c r="H4" s="69">
        <f>(B12+B13)/2</f>
        <v>8927</v>
      </c>
      <c r="I4" s="69">
        <f>(B12+B13)/2</f>
        <v>8927</v>
      </c>
      <c r="J4" s="70">
        <v>0</v>
      </c>
      <c r="K4" s="70">
        <v>0</v>
      </c>
      <c r="L4" s="70">
        <v>0</v>
      </c>
      <c r="M4" s="69">
        <f>(B12+B13)/2</f>
        <v>8927</v>
      </c>
      <c r="N4" s="69">
        <f>(B12+B13)/2</f>
        <v>8927</v>
      </c>
      <c r="O4" s="70">
        <v>0</v>
      </c>
      <c r="P4" s="70">
        <v>0</v>
      </c>
      <c r="Q4" s="70">
        <v>0</v>
      </c>
    </row>
    <row r="5" spans="1:17" x14ac:dyDescent="0.35">
      <c r="A5" s="5" t="s">
        <v>26</v>
      </c>
      <c r="B5" s="6">
        <f>5323.58*2</f>
        <v>10647.16</v>
      </c>
      <c r="D5" s="5" t="s">
        <v>26</v>
      </c>
      <c r="E5" s="6">
        <v>5176.4799999999996</v>
      </c>
      <c r="G5" s="2" t="s">
        <v>3</v>
      </c>
      <c r="H5" s="69">
        <f>B18</f>
        <v>1076.3999999999999</v>
      </c>
      <c r="I5" s="69">
        <f>B18</f>
        <v>1076.3999999999999</v>
      </c>
      <c r="J5" s="69">
        <f>B18</f>
        <v>1076.3999999999999</v>
      </c>
      <c r="K5" s="69">
        <f>B19</f>
        <v>717.59999999999991</v>
      </c>
      <c r="L5" s="69">
        <f>B20</f>
        <v>358.79999999999995</v>
      </c>
      <c r="M5" s="69">
        <f>B18</f>
        <v>1076.3999999999999</v>
      </c>
      <c r="N5" s="69">
        <f>B18</f>
        <v>1076.3999999999999</v>
      </c>
      <c r="O5" s="69">
        <f>B18</f>
        <v>1076.3999999999999</v>
      </c>
      <c r="P5" s="69">
        <f>B19</f>
        <v>717.59999999999991</v>
      </c>
      <c r="Q5" s="69">
        <f>B20</f>
        <v>358.79999999999995</v>
      </c>
    </row>
    <row r="6" spans="1:17" x14ac:dyDescent="0.35">
      <c r="A6" s="5" t="s">
        <v>27</v>
      </c>
      <c r="B6" s="6">
        <f>2808.89*2</f>
        <v>5617.78</v>
      </c>
      <c r="D6" s="5" t="s">
        <v>27</v>
      </c>
      <c r="E6" s="6">
        <v>2661.79</v>
      </c>
      <c r="G6" s="2" t="s">
        <v>4</v>
      </c>
      <c r="H6" s="69">
        <f>(B24+B25)/2</f>
        <v>1998</v>
      </c>
      <c r="I6" s="69">
        <f>(B24+B25)/2</f>
        <v>1998</v>
      </c>
      <c r="J6" s="69">
        <f>(B24+B25)/2</f>
        <v>1998</v>
      </c>
      <c r="K6" s="69">
        <f>J6/2</f>
        <v>999</v>
      </c>
      <c r="L6" s="69">
        <f>K6/2</f>
        <v>499.5</v>
      </c>
      <c r="M6" s="69">
        <f>(B24+B25)/2</f>
        <v>1998</v>
      </c>
      <c r="N6" s="69">
        <f>(B24+B25)/2</f>
        <v>1998</v>
      </c>
      <c r="O6" s="69">
        <f>(B24+B25)/2</f>
        <v>1998</v>
      </c>
      <c r="P6" s="69">
        <f>O6/2</f>
        <v>999</v>
      </c>
      <c r="Q6" s="69">
        <f>P6/2</f>
        <v>499.5</v>
      </c>
    </row>
    <row r="7" spans="1:17" x14ac:dyDescent="0.35">
      <c r="A7" s="5" t="s">
        <v>73</v>
      </c>
      <c r="B7" s="6">
        <f>4166.27*2</f>
        <v>8332.5400000000009</v>
      </c>
      <c r="D7" s="5" t="s">
        <v>73</v>
      </c>
      <c r="E7" s="6">
        <v>4019.17</v>
      </c>
      <c r="G7" s="2" t="s">
        <v>5</v>
      </c>
      <c r="H7" s="69">
        <f>B30</f>
        <v>3058</v>
      </c>
      <c r="I7" s="69">
        <f>B30</f>
        <v>3058</v>
      </c>
      <c r="J7" s="69">
        <f>B30</f>
        <v>3058</v>
      </c>
      <c r="K7" s="69">
        <f>J7/2</f>
        <v>1529</v>
      </c>
      <c r="L7" s="69">
        <f>K7/2</f>
        <v>764.5</v>
      </c>
      <c r="M7" s="69">
        <f>B30</f>
        <v>3058</v>
      </c>
      <c r="N7" s="69">
        <f>B30</f>
        <v>3058</v>
      </c>
      <c r="O7" s="69">
        <f>B30</f>
        <v>3058</v>
      </c>
      <c r="P7" s="69">
        <f>O7/2</f>
        <v>1529</v>
      </c>
      <c r="Q7" s="69">
        <f>P7/2</f>
        <v>764.5</v>
      </c>
    </row>
    <row r="8" spans="1:17" x14ac:dyDescent="0.35">
      <c r="A8" s="5" t="s">
        <v>29</v>
      </c>
      <c r="B8" s="6">
        <f>2875.58*2</f>
        <v>5751.16</v>
      </c>
      <c r="D8" s="5" t="s">
        <v>29</v>
      </c>
      <c r="E8" s="6">
        <v>2728.48</v>
      </c>
      <c r="G8" s="2" t="s">
        <v>6</v>
      </c>
      <c r="H8" s="69">
        <f>B35+B36+B37</f>
        <v>3590</v>
      </c>
      <c r="I8" s="70">
        <v>0</v>
      </c>
      <c r="J8" s="70">
        <v>0</v>
      </c>
      <c r="K8" s="70">
        <v>0</v>
      </c>
      <c r="L8" s="70">
        <v>0</v>
      </c>
      <c r="M8" s="69">
        <f>B35+B36+B37</f>
        <v>3590</v>
      </c>
      <c r="N8" s="70">
        <v>0</v>
      </c>
      <c r="O8" s="70">
        <v>0</v>
      </c>
      <c r="P8" s="70">
        <v>0</v>
      </c>
      <c r="Q8" s="70">
        <v>0</v>
      </c>
    </row>
    <row r="9" spans="1:17" x14ac:dyDescent="0.35">
      <c r="A9" s="5" t="s">
        <v>30</v>
      </c>
      <c r="B9" s="6">
        <f>1584.89*2</f>
        <v>3169.78</v>
      </c>
      <c r="D9" s="5" t="s">
        <v>30</v>
      </c>
      <c r="E9" s="6">
        <v>1437.79</v>
      </c>
      <c r="G9" s="1" t="s">
        <v>7</v>
      </c>
      <c r="H9" s="34">
        <f>SUM(H3:H8)</f>
        <v>34325.94</v>
      </c>
      <c r="I9" s="34">
        <f t="shared" ref="I9:P9" si="0">SUM(I3:I8)</f>
        <v>30735.940000000002</v>
      </c>
      <c r="J9" s="34">
        <f t="shared" si="0"/>
        <v>21808.940000000002</v>
      </c>
      <c r="K9" s="34">
        <f t="shared" si="0"/>
        <v>13892.76</v>
      </c>
      <c r="L9" s="34">
        <f t="shared" si="0"/>
        <v>7240.58</v>
      </c>
      <c r="M9" s="34">
        <f t="shared" si="0"/>
        <v>26981.940000000002</v>
      </c>
      <c r="N9" s="34">
        <f t="shared" si="0"/>
        <v>23391.940000000002</v>
      </c>
      <c r="O9" s="34">
        <f t="shared" si="0"/>
        <v>14464.94</v>
      </c>
      <c r="P9" s="34">
        <f t="shared" si="0"/>
        <v>8996.76</v>
      </c>
      <c r="Q9" s="34">
        <f>SUM(Q3:Q8)</f>
        <v>4792.58</v>
      </c>
    </row>
    <row r="10" spans="1:17" x14ac:dyDescent="0.35">
      <c r="A10" s="29"/>
      <c r="B10" s="30"/>
      <c r="D10" s="29"/>
      <c r="E10" s="30"/>
      <c r="G10" s="35" t="s">
        <v>106</v>
      </c>
    </row>
    <row r="11" spans="1:17" x14ac:dyDescent="0.35">
      <c r="A11" s="32" t="s">
        <v>2</v>
      </c>
      <c r="B11" s="33"/>
      <c r="D11" s="32" t="s">
        <v>50</v>
      </c>
      <c r="E11" s="33"/>
    </row>
    <row r="12" spans="1:17" x14ac:dyDescent="0.35">
      <c r="A12" s="5" t="s">
        <v>51</v>
      </c>
      <c r="B12" s="6">
        <v>8888</v>
      </c>
      <c r="D12" s="5" t="s">
        <v>38</v>
      </c>
      <c r="E12" s="6">
        <f>B12/2/4*3</f>
        <v>3333</v>
      </c>
      <c r="G12" s="47" t="s">
        <v>52</v>
      </c>
      <c r="H12" s="48"/>
      <c r="I12" s="48"/>
      <c r="J12" s="48"/>
      <c r="K12" s="48"/>
      <c r="L12" s="48"/>
      <c r="M12" s="48"/>
      <c r="N12" s="48"/>
      <c r="O12" s="48"/>
      <c r="P12" s="48"/>
      <c r="Q12" s="49"/>
    </row>
    <row r="13" spans="1:17" x14ac:dyDescent="0.35">
      <c r="A13" s="5" t="s">
        <v>39</v>
      </c>
      <c r="B13" s="6">
        <v>8966</v>
      </c>
      <c r="D13" s="5" t="s">
        <v>39</v>
      </c>
      <c r="E13" s="6">
        <f>B13/2/4*3</f>
        <v>3362.25</v>
      </c>
      <c r="G13" s="1" t="s">
        <v>8</v>
      </c>
      <c r="H13" s="31" t="s">
        <v>9</v>
      </c>
      <c r="I13" s="31" t="s">
        <v>10</v>
      </c>
      <c r="J13" s="31" t="s">
        <v>11</v>
      </c>
      <c r="K13" s="31" t="s">
        <v>12</v>
      </c>
      <c r="L13" s="31" t="s">
        <v>13</v>
      </c>
      <c r="M13" s="31" t="s">
        <v>14</v>
      </c>
      <c r="N13" s="31" t="s">
        <v>15</v>
      </c>
      <c r="O13" s="31" t="s">
        <v>16</v>
      </c>
      <c r="P13" s="31" t="s">
        <v>17</v>
      </c>
      <c r="Q13" s="31" t="s">
        <v>18</v>
      </c>
    </row>
    <row r="14" spans="1:17" x14ac:dyDescent="0.35">
      <c r="A14" s="5" t="s">
        <v>40</v>
      </c>
      <c r="B14" s="6">
        <v>2444</v>
      </c>
      <c r="D14" s="5" t="s">
        <v>40</v>
      </c>
      <c r="E14" s="6">
        <f>B14/2/4*3</f>
        <v>916.5</v>
      </c>
      <c r="G14" s="2" t="s">
        <v>1</v>
      </c>
      <c r="H14" s="69">
        <f>E5</f>
        <v>5176.4799999999996</v>
      </c>
      <c r="I14" s="69">
        <f>E5</f>
        <v>5176.4799999999996</v>
      </c>
      <c r="J14" s="69">
        <f>E5</f>
        <v>5176.4799999999996</v>
      </c>
      <c r="K14" s="69">
        <f>E5</f>
        <v>5176.4799999999996</v>
      </c>
      <c r="L14" s="69">
        <f>E6</f>
        <v>2661.79</v>
      </c>
      <c r="M14" s="69">
        <f>E8</f>
        <v>2728.48</v>
      </c>
      <c r="N14" s="69">
        <f>E8</f>
        <v>2728.48</v>
      </c>
      <c r="O14" s="69">
        <f>E8</f>
        <v>2728.48</v>
      </c>
      <c r="P14" s="69">
        <f>E8</f>
        <v>2728.48</v>
      </c>
      <c r="Q14" s="69">
        <f>E9</f>
        <v>1437.79</v>
      </c>
    </row>
    <row r="15" spans="1:17" x14ac:dyDescent="0.35">
      <c r="A15" s="36" t="s">
        <v>53</v>
      </c>
      <c r="B15" s="37"/>
      <c r="D15" s="38" t="s">
        <v>53</v>
      </c>
      <c r="E15" s="37"/>
      <c r="G15" s="2" t="s">
        <v>2</v>
      </c>
      <c r="H15" s="69">
        <f>(E12+E13)/2</f>
        <v>3347.625</v>
      </c>
      <c r="I15" s="69">
        <f>(E12+E13)/2</f>
        <v>3347.625</v>
      </c>
      <c r="J15" s="70">
        <v>0</v>
      </c>
      <c r="K15" s="70">
        <v>0</v>
      </c>
      <c r="L15" s="70">
        <v>0</v>
      </c>
      <c r="M15" s="69">
        <f>(E12+E13)/2</f>
        <v>3347.625</v>
      </c>
      <c r="N15" s="69">
        <f>(E12+E13)/2</f>
        <v>3347.625</v>
      </c>
      <c r="O15" s="70">
        <v>0</v>
      </c>
      <c r="P15" s="70">
        <v>0</v>
      </c>
      <c r="Q15" s="70">
        <v>0</v>
      </c>
    </row>
    <row r="16" spans="1:17" x14ac:dyDescent="0.35">
      <c r="A16" s="29"/>
      <c r="B16" s="30"/>
      <c r="D16" s="29"/>
      <c r="E16" s="30"/>
      <c r="G16" s="2" t="s">
        <v>3</v>
      </c>
      <c r="H16" s="69">
        <f>E19</f>
        <v>717.59999999999991</v>
      </c>
      <c r="I16" s="69">
        <f>E19</f>
        <v>717.59999999999991</v>
      </c>
      <c r="J16" s="69">
        <f>E19</f>
        <v>717.59999999999991</v>
      </c>
      <c r="K16" s="69">
        <f>E19</f>
        <v>717.59999999999991</v>
      </c>
      <c r="L16" s="69">
        <f>E20</f>
        <v>358.79999999999995</v>
      </c>
      <c r="M16" s="69">
        <f>E19</f>
        <v>717.59999999999991</v>
      </c>
      <c r="N16" s="69">
        <f>E19</f>
        <v>717.59999999999991</v>
      </c>
      <c r="O16" s="69">
        <f>E19</f>
        <v>717.59999999999991</v>
      </c>
      <c r="P16" s="69">
        <f>E19</f>
        <v>717.59999999999991</v>
      </c>
      <c r="Q16" s="69">
        <f>E20</f>
        <v>358.79999999999995</v>
      </c>
    </row>
    <row r="17" spans="1:17" x14ac:dyDescent="0.35">
      <c r="A17" s="32" t="s">
        <v>54</v>
      </c>
      <c r="B17" s="39"/>
      <c r="D17" s="32" t="s">
        <v>55</v>
      </c>
      <c r="E17" s="39"/>
      <c r="G17" s="2" t="s">
        <v>4</v>
      </c>
      <c r="H17" s="69">
        <f>(E24+E25)/2</f>
        <v>749.25</v>
      </c>
      <c r="I17" s="69">
        <f>(E24+E25)/2</f>
        <v>749.25</v>
      </c>
      <c r="J17" s="69">
        <f>(E24+E25)/2</f>
        <v>749.25</v>
      </c>
      <c r="K17" s="69">
        <f>(E24+E25)/2</f>
        <v>749.25</v>
      </c>
      <c r="L17" s="69">
        <f>K17/2</f>
        <v>374.625</v>
      </c>
      <c r="M17" s="69">
        <f>(E24+E25)/2</f>
        <v>749.25</v>
      </c>
      <c r="N17" s="69">
        <f>(E24+E25)/2</f>
        <v>749.25</v>
      </c>
      <c r="O17" s="69">
        <f>(E24+E25)/2</f>
        <v>749.25</v>
      </c>
      <c r="P17" s="69">
        <f>(E24+E25)/2</f>
        <v>749.25</v>
      </c>
      <c r="Q17" s="69">
        <f>P17/2</f>
        <v>374.625</v>
      </c>
    </row>
    <row r="18" spans="1:17" x14ac:dyDescent="0.35">
      <c r="A18" s="5" t="s">
        <v>74</v>
      </c>
      <c r="B18" s="6">
        <f>1196/10*9</f>
        <v>1076.3999999999999</v>
      </c>
      <c r="D18" s="5" t="s">
        <v>74</v>
      </c>
      <c r="E18" s="6">
        <f>1196/10*9</f>
        <v>1076.3999999999999</v>
      </c>
      <c r="G18" s="2" t="s">
        <v>5</v>
      </c>
      <c r="H18" s="69">
        <f>E30</f>
        <v>1146.75</v>
      </c>
      <c r="I18" s="69">
        <f>E30</f>
        <v>1146.75</v>
      </c>
      <c r="J18" s="69">
        <f>E30</f>
        <v>1146.75</v>
      </c>
      <c r="K18" s="69">
        <f>E30</f>
        <v>1146.75</v>
      </c>
      <c r="L18" s="69">
        <f>K18/2</f>
        <v>573.375</v>
      </c>
      <c r="M18" s="69">
        <f>E30</f>
        <v>1146.75</v>
      </c>
      <c r="N18" s="69">
        <f>E30</f>
        <v>1146.75</v>
      </c>
      <c r="O18" s="69">
        <f>E30</f>
        <v>1146.75</v>
      </c>
      <c r="P18" s="69">
        <f>E30</f>
        <v>1146.75</v>
      </c>
      <c r="Q18" s="69">
        <f>P18/2</f>
        <v>573.375</v>
      </c>
    </row>
    <row r="19" spans="1:17" x14ac:dyDescent="0.35">
      <c r="A19" s="5" t="s">
        <v>36</v>
      </c>
      <c r="B19" s="6">
        <f>1196/10*6</f>
        <v>717.59999999999991</v>
      </c>
      <c r="D19" s="5" t="s">
        <v>36</v>
      </c>
      <c r="E19" s="6">
        <f>1196/10*6</f>
        <v>717.59999999999991</v>
      </c>
      <c r="G19" s="2" t="s">
        <v>6</v>
      </c>
      <c r="H19" s="69">
        <f>E35</f>
        <v>835</v>
      </c>
      <c r="I19" s="70">
        <v>0</v>
      </c>
      <c r="J19" s="70">
        <v>0</v>
      </c>
      <c r="K19" s="70">
        <v>0</v>
      </c>
      <c r="L19" s="70">
        <v>0</v>
      </c>
      <c r="M19" s="69">
        <f>E35</f>
        <v>835</v>
      </c>
      <c r="N19" s="70">
        <v>0</v>
      </c>
      <c r="O19" s="70">
        <v>0</v>
      </c>
      <c r="P19" s="70">
        <v>0</v>
      </c>
      <c r="Q19" s="70">
        <v>0</v>
      </c>
    </row>
    <row r="20" spans="1:17" x14ac:dyDescent="0.35">
      <c r="A20" s="5" t="s">
        <v>37</v>
      </c>
      <c r="B20" s="6">
        <f>1196/10*3</f>
        <v>358.79999999999995</v>
      </c>
      <c r="D20" s="5" t="s">
        <v>37</v>
      </c>
      <c r="E20" s="6">
        <f>1196/10*3</f>
        <v>358.79999999999995</v>
      </c>
      <c r="G20" s="1" t="s">
        <v>7</v>
      </c>
      <c r="H20" s="34">
        <f>SUM(H14:H19)</f>
        <v>11972.705</v>
      </c>
      <c r="I20" s="34">
        <f t="shared" ref="I20:Q20" si="1">SUM(I14:I19)</f>
        <v>11137.705</v>
      </c>
      <c r="J20" s="34">
        <f t="shared" si="1"/>
        <v>7790.08</v>
      </c>
      <c r="K20" s="34">
        <f t="shared" si="1"/>
        <v>7790.08</v>
      </c>
      <c r="L20" s="34">
        <f t="shared" si="1"/>
        <v>3968.59</v>
      </c>
      <c r="M20" s="34">
        <f t="shared" si="1"/>
        <v>9524.7049999999999</v>
      </c>
      <c r="N20" s="34">
        <f t="shared" si="1"/>
        <v>8689.7049999999999</v>
      </c>
      <c r="O20" s="34">
        <f t="shared" si="1"/>
        <v>5342.08</v>
      </c>
      <c r="P20" s="34">
        <f t="shared" si="1"/>
        <v>5342.08</v>
      </c>
      <c r="Q20" s="34">
        <f t="shared" si="1"/>
        <v>2744.59</v>
      </c>
    </row>
    <row r="21" spans="1:17" x14ac:dyDescent="0.35">
      <c r="A21" s="38" t="s">
        <v>56</v>
      </c>
      <c r="B21" s="30"/>
      <c r="D21" s="38" t="s">
        <v>53</v>
      </c>
      <c r="E21" s="30"/>
      <c r="G21" s="35" t="s">
        <v>107</v>
      </c>
    </row>
    <row r="22" spans="1:17" x14ac:dyDescent="0.35">
      <c r="A22" s="29"/>
      <c r="B22" s="30"/>
      <c r="D22" s="29"/>
      <c r="E22" s="30"/>
    </row>
    <row r="23" spans="1:17" x14ac:dyDescent="0.35">
      <c r="A23" s="32" t="s">
        <v>58</v>
      </c>
      <c r="B23" s="33"/>
      <c r="D23" s="32" t="s">
        <v>59</v>
      </c>
      <c r="E23" s="33"/>
      <c r="G23" s="47" t="s">
        <v>60</v>
      </c>
      <c r="H23" s="48"/>
      <c r="I23" s="48"/>
      <c r="J23" s="48"/>
      <c r="K23" s="48"/>
      <c r="L23" s="48"/>
      <c r="M23" s="48"/>
      <c r="N23" s="48"/>
      <c r="O23" s="48"/>
      <c r="P23" s="48"/>
      <c r="Q23" s="49"/>
    </row>
    <row r="24" spans="1:17" x14ac:dyDescent="0.35">
      <c r="A24" s="5" t="s">
        <v>38</v>
      </c>
      <c r="B24" s="6">
        <v>1474</v>
      </c>
      <c r="D24" s="5" t="s">
        <v>38</v>
      </c>
      <c r="E24" s="6">
        <f>B24/2/4*3</f>
        <v>552.75</v>
      </c>
      <c r="G24" s="1" t="s">
        <v>8</v>
      </c>
      <c r="H24" s="31" t="s">
        <v>9</v>
      </c>
      <c r="I24" s="31" t="s">
        <v>10</v>
      </c>
      <c r="J24" s="31" t="s">
        <v>11</v>
      </c>
      <c r="K24" s="31" t="s">
        <v>12</v>
      </c>
      <c r="L24" s="31" t="s">
        <v>13</v>
      </c>
      <c r="M24" s="31" t="s">
        <v>14</v>
      </c>
      <c r="N24" s="31" t="s">
        <v>15</v>
      </c>
      <c r="O24" s="31" t="s">
        <v>16</v>
      </c>
      <c r="P24" s="31" t="s">
        <v>17</v>
      </c>
      <c r="Q24" s="31" t="s">
        <v>18</v>
      </c>
    </row>
    <row r="25" spans="1:17" x14ac:dyDescent="0.35">
      <c r="A25" s="5" t="s">
        <v>39</v>
      </c>
      <c r="B25" s="6">
        <v>2522</v>
      </c>
      <c r="D25" s="5" t="s">
        <v>39</v>
      </c>
      <c r="E25" s="6">
        <f>B25/2/4*3</f>
        <v>945.75</v>
      </c>
      <c r="G25" s="2" t="s">
        <v>1</v>
      </c>
      <c r="H25" s="69">
        <f>B4</f>
        <v>15676.54</v>
      </c>
      <c r="I25" s="69">
        <f>B4</f>
        <v>15676.54</v>
      </c>
      <c r="J25" s="69">
        <f>B4</f>
        <v>15676.54</v>
      </c>
      <c r="K25" s="69">
        <f>B5</f>
        <v>10647.16</v>
      </c>
      <c r="L25" s="69">
        <f>B6</f>
        <v>5617.78</v>
      </c>
      <c r="M25" s="69">
        <f>B7</f>
        <v>8332.5400000000009</v>
      </c>
      <c r="N25" s="69">
        <f>B7</f>
        <v>8332.5400000000009</v>
      </c>
      <c r="O25" s="69">
        <f>B7</f>
        <v>8332.5400000000009</v>
      </c>
      <c r="P25" s="69">
        <f>B8</f>
        <v>5751.16</v>
      </c>
      <c r="Q25" s="69">
        <f>B9</f>
        <v>3169.78</v>
      </c>
    </row>
    <row r="26" spans="1:17" x14ac:dyDescent="0.35">
      <c r="A26" s="5" t="s">
        <v>40</v>
      </c>
      <c r="B26" s="6">
        <v>2522</v>
      </c>
      <c r="D26" s="5" t="s">
        <v>40</v>
      </c>
      <c r="E26" s="6">
        <f>B26/2/4*3</f>
        <v>945.75</v>
      </c>
      <c r="G26" s="2" t="s">
        <v>2</v>
      </c>
      <c r="H26" s="69">
        <f>B14</f>
        <v>2444</v>
      </c>
      <c r="I26" s="69">
        <f>B14</f>
        <v>2444</v>
      </c>
      <c r="J26" s="70">
        <v>0</v>
      </c>
      <c r="K26" s="70">
        <v>0</v>
      </c>
      <c r="L26" s="70">
        <v>0</v>
      </c>
      <c r="M26" s="69">
        <f>B14</f>
        <v>2444</v>
      </c>
      <c r="N26" s="69">
        <f>B14</f>
        <v>2444</v>
      </c>
      <c r="O26" s="70">
        <v>0</v>
      </c>
      <c r="P26" s="70">
        <v>0</v>
      </c>
      <c r="Q26" s="70">
        <v>0</v>
      </c>
    </row>
    <row r="27" spans="1:17" x14ac:dyDescent="0.35">
      <c r="A27" s="38" t="s">
        <v>56</v>
      </c>
      <c r="B27" s="30"/>
      <c r="D27" s="38" t="s">
        <v>53</v>
      </c>
      <c r="E27" s="30"/>
      <c r="G27" s="2" t="s">
        <v>3</v>
      </c>
      <c r="H27" s="69">
        <f>B18</f>
        <v>1076.3999999999999</v>
      </c>
      <c r="I27" s="69">
        <f>B18</f>
        <v>1076.3999999999999</v>
      </c>
      <c r="J27" s="69">
        <f>B18</f>
        <v>1076.3999999999999</v>
      </c>
      <c r="K27" s="69">
        <f>B19</f>
        <v>717.59999999999991</v>
      </c>
      <c r="L27" s="69">
        <f>B20</f>
        <v>358.79999999999995</v>
      </c>
      <c r="M27" s="69">
        <f>B18</f>
        <v>1076.3999999999999</v>
      </c>
      <c r="N27" s="69">
        <f>B18</f>
        <v>1076.3999999999999</v>
      </c>
      <c r="O27" s="69">
        <f>B18</f>
        <v>1076.3999999999999</v>
      </c>
      <c r="P27" s="69">
        <f>B19</f>
        <v>717.59999999999991</v>
      </c>
      <c r="Q27" s="69">
        <f>B20</f>
        <v>358.79999999999995</v>
      </c>
    </row>
    <row r="28" spans="1:17" x14ac:dyDescent="0.35">
      <c r="A28" s="29"/>
      <c r="B28" s="30"/>
      <c r="D28" s="29"/>
      <c r="E28" s="30"/>
      <c r="G28" s="2" t="s">
        <v>4</v>
      </c>
      <c r="H28" s="69">
        <f>B26</f>
        <v>2522</v>
      </c>
      <c r="I28" s="69">
        <f>B26</f>
        <v>2522</v>
      </c>
      <c r="J28" s="69">
        <f>B26</f>
        <v>2522</v>
      </c>
      <c r="K28" s="69">
        <f>J28/2</f>
        <v>1261</v>
      </c>
      <c r="L28" s="69">
        <f>K28/2</f>
        <v>630.5</v>
      </c>
      <c r="M28" s="69">
        <f>B26</f>
        <v>2522</v>
      </c>
      <c r="N28" s="69">
        <f>B26</f>
        <v>2522</v>
      </c>
      <c r="O28" s="69">
        <f>B26</f>
        <v>2522</v>
      </c>
      <c r="P28" s="69">
        <f>O28/2</f>
        <v>1261</v>
      </c>
      <c r="Q28" s="69">
        <f>P28/2</f>
        <v>630.5</v>
      </c>
    </row>
    <row r="29" spans="1:17" x14ac:dyDescent="0.35">
      <c r="A29" s="32" t="s">
        <v>5</v>
      </c>
      <c r="B29" s="39"/>
      <c r="D29" s="32" t="s">
        <v>61</v>
      </c>
      <c r="E29" s="39"/>
      <c r="G29" s="2" t="s">
        <v>5</v>
      </c>
      <c r="H29" s="69">
        <f>B32</f>
        <v>3058</v>
      </c>
      <c r="I29" s="69">
        <f>B32</f>
        <v>3058</v>
      </c>
      <c r="J29" s="69">
        <f>B32</f>
        <v>3058</v>
      </c>
      <c r="K29" s="69">
        <f>J29/2</f>
        <v>1529</v>
      </c>
      <c r="L29" s="69">
        <f>K29/2</f>
        <v>764.5</v>
      </c>
      <c r="M29" s="69">
        <f>B32</f>
        <v>3058</v>
      </c>
      <c r="N29" s="69">
        <f>B32</f>
        <v>3058</v>
      </c>
      <c r="O29" s="69">
        <f>B32</f>
        <v>3058</v>
      </c>
      <c r="P29" s="69">
        <f>O29/2</f>
        <v>1529</v>
      </c>
      <c r="Q29" s="69">
        <f>P29/2</f>
        <v>764.5</v>
      </c>
    </row>
    <row r="30" spans="1:17" x14ac:dyDescent="0.35">
      <c r="A30" s="5" t="s">
        <v>38</v>
      </c>
      <c r="B30" s="6">
        <v>3058</v>
      </c>
      <c r="D30" s="5" t="s">
        <v>38</v>
      </c>
      <c r="E30" s="6">
        <f>B30/2/4*3</f>
        <v>1146.75</v>
      </c>
      <c r="G30" s="2" t="s">
        <v>6</v>
      </c>
      <c r="H30" s="69">
        <f>B35+B36+B37</f>
        <v>3590</v>
      </c>
      <c r="I30" s="70">
        <v>0</v>
      </c>
      <c r="J30" s="70">
        <v>0</v>
      </c>
      <c r="K30" s="70">
        <v>0</v>
      </c>
      <c r="L30" s="70">
        <v>0</v>
      </c>
      <c r="M30" s="69">
        <f>B35+B36+B37</f>
        <v>3590</v>
      </c>
      <c r="N30" s="70">
        <v>0</v>
      </c>
      <c r="O30" s="70">
        <v>0</v>
      </c>
      <c r="P30" s="70">
        <v>0</v>
      </c>
      <c r="Q30" s="70">
        <v>0</v>
      </c>
    </row>
    <row r="31" spans="1:17" x14ac:dyDescent="0.35">
      <c r="A31" s="5" t="s">
        <v>39</v>
      </c>
      <c r="B31" s="6">
        <v>3058</v>
      </c>
      <c r="D31" s="5" t="s">
        <v>39</v>
      </c>
      <c r="E31" s="6">
        <f>B31/2/4*3</f>
        <v>1146.75</v>
      </c>
      <c r="G31" s="1" t="s">
        <v>7</v>
      </c>
      <c r="H31" s="34">
        <f>SUM(H25:H30)</f>
        <v>28366.940000000002</v>
      </c>
      <c r="I31" s="34">
        <f t="shared" ref="I31:Q31" si="2">SUM(I25:I30)</f>
        <v>24776.940000000002</v>
      </c>
      <c r="J31" s="34">
        <f t="shared" si="2"/>
        <v>22332.940000000002</v>
      </c>
      <c r="K31" s="34">
        <f t="shared" si="2"/>
        <v>14154.76</v>
      </c>
      <c r="L31" s="34">
        <f t="shared" si="2"/>
        <v>7371.58</v>
      </c>
      <c r="M31" s="34">
        <f t="shared" si="2"/>
        <v>21022.940000000002</v>
      </c>
      <c r="N31" s="34">
        <f t="shared" si="2"/>
        <v>17432.940000000002</v>
      </c>
      <c r="O31" s="34">
        <f t="shared" si="2"/>
        <v>14988.94</v>
      </c>
      <c r="P31" s="34">
        <f t="shared" si="2"/>
        <v>9258.76</v>
      </c>
      <c r="Q31" s="34">
        <f t="shared" si="2"/>
        <v>4923.58</v>
      </c>
    </row>
    <row r="32" spans="1:17" x14ac:dyDescent="0.35">
      <c r="A32" s="5" t="s">
        <v>40</v>
      </c>
      <c r="B32" s="6">
        <v>3058</v>
      </c>
      <c r="D32" s="5" t="s">
        <v>40</v>
      </c>
      <c r="E32" s="6">
        <f>B32/2/4*3</f>
        <v>1146.75</v>
      </c>
      <c r="G32" s="35" t="s">
        <v>106</v>
      </c>
    </row>
    <row r="33" spans="1:12" x14ac:dyDescent="0.35">
      <c r="A33" s="29"/>
      <c r="B33" s="30"/>
      <c r="D33" s="29"/>
      <c r="E33" s="30"/>
    </row>
    <row r="34" spans="1:12" x14ac:dyDescent="0.35">
      <c r="A34" s="32" t="s">
        <v>62</v>
      </c>
      <c r="B34" s="39"/>
      <c r="D34" s="32" t="s">
        <v>62</v>
      </c>
      <c r="E34" s="39"/>
    </row>
    <row r="35" spans="1:12" ht="15" thickBot="1" x14ac:dyDescent="0.4">
      <c r="A35" s="5" t="s">
        <v>22</v>
      </c>
      <c r="B35" s="6">
        <f>277+1107</f>
        <v>1384</v>
      </c>
      <c r="D35" s="12" t="s">
        <v>24</v>
      </c>
      <c r="E35" s="14">
        <v>835</v>
      </c>
    </row>
    <row r="36" spans="1:12" x14ac:dyDescent="0.35">
      <c r="A36" s="5" t="s">
        <v>23</v>
      </c>
      <c r="B36" s="6">
        <v>1371</v>
      </c>
    </row>
    <row r="37" spans="1:12" ht="15" thickBot="1" x14ac:dyDescent="0.4">
      <c r="A37" s="12" t="s">
        <v>24</v>
      </c>
      <c r="B37" s="14">
        <f>381+454</f>
        <v>835</v>
      </c>
    </row>
    <row r="38" spans="1:12" ht="29" x14ac:dyDescent="0.35">
      <c r="G38" s="1" t="s">
        <v>0</v>
      </c>
      <c r="H38" s="31" t="s">
        <v>63</v>
      </c>
      <c r="I38" s="31" t="s">
        <v>64</v>
      </c>
      <c r="J38" s="41" t="s">
        <v>65</v>
      </c>
      <c r="K38" s="31" t="s">
        <v>24</v>
      </c>
      <c r="L38" s="31" t="s">
        <v>66</v>
      </c>
    </row>
    <row r="39" spans="1:12" x14ac:dyDescent="0.35">
      <c r="G39" s="2" t="s">
        <v>9</v>
      </c>
      <c r="H39" s="42" t="s">
        <v>67</v>
      </c>
      <c r="I39" s="43">
        <f>H31</f>
        <v>28366.940000000002</v>
      </c>
      <c r="J39" s="43">
        <f>H9</f>
        <v>34325.94</v>
      </c>
      <c r="K39" s="43">
        <f>H20</f>
        <v>11972.705</v>
      </c>
      <c r="L39" s="42" t="s">
        <v>68</v>
      </c>
    </row>
    <row r="40" spans="1:12" x14ac:dyDescent="0.35">
      <c r="G40" s="2" t="s">
        <v>10</v>
      </c>
      <c r="H40" s="42" t="s">
        <v>67</v>
      </c>
      <c r="I40" s="43">
        <f>I31</f>
        <v>24776.940000000002</v>
      </c>
      <c r="J40" s="43">
        <f>I9</f>
        <v>30735.940000000002</v>
      </c>
      <c r="K40" s="43">
        <f>I20</f>
        <v>11137.705</v>
      </c>
      <c r="L40" s="42" t="s">
        <v>68</v>
      </c>
    </row>
    <row r="41" spans="1:12" x14ac:dyDescent="0.35">
      <c r="G41" s="2" t="s">
        <v>11</v>
      </c>
      <c r="H41" s="42" t="s">
        <v>67</v>
      </c>
      <c r="I41" s="43">
        <f>J31</f>
        <v>22332.940000000002</v>
      </c>
      <c r="J41" s="43">
        <f>J9</f>
        <v>21808.940000000002</v>
      </c>
      <c r="K41" s="43">
        <f>J20</f>
        <v>7790.08</v>
      </c>
      <c r="L41" s="42" t="s">
        <v>68</v>
      </c>
    </row>
    <row r="42" spans="1:12" x14ac:dyDescent="0.35">
      <c r="G42" s="2" t="s">
        <v>12</v>
      </c>
      <c r="H42" s="42" t="s">
        <v>67</v>
      </c>
      <c r="I42" s="43">
        <f>K31</f>
        <v>14154.76</v>
      </c>
      <c r="J42" s="43">
        <f>K9</f>
        <v>13892.76</v>
      </c>
      <c r="K42" s="43">
        <f>K20</f>
        <v>7790.08</v>
      </c>
      <c r="L42" s="42" t="s">
        <v>68</v>
      </c>
    </row>
    <row r="43" spans="1:12" x14ac:dyDescent="0.35">
      <c r="G43" s="2" t="s">
        <v>13</v>
      </c>
      <c r="H43" s="42" t="s">
        <v>67</v>
      </c>
      <c r="I43" s="43">
        <f>L31</f>
        <v>7371.58</v>
      </c>
      <c r="J43" s="43">
        <f>L9</f>
        <v>7240.58</v>
      </c>
      <c r="K43" s="43">
        <f>L20</f>
        <v>3968.59</v>
      </c>
      <c r="L43" s="42" t="s">
        <v>68</v>
      </c>
    </row>
    <row r="44" spans="1:12" x14ac:dyDescent="0.35">
      <c r="G44" s="2" t="s">
        <v>14</v>
      </c>
      <c r="H44" s="42" t="s">
        <v>67</v>
      </c>
      <c r="I44" s="43">
        <f>M31</f>
        <v>21022.940000000002</v>
      </c>
      <c r="J44" s="43">
        <f>M9</f>
        <v>26981.940000000002</v>
      </c>
      <c r="K44" s="43">
        <f>M20</f>
        <v>9524.7049999999999</v>
      </c>
      <c r="L44" s="42" t="s">
        <v>69</v>
      </c>
    </row>
    <row r="45" spans="1:12" x14ac:dyDescent="0.35">
      <c r="G45" s="2" t="s">
        <v>15</v>
      </c>
      <c r="H45" s="42" t="s">
        <v>67</v>
      </c>
      <c r="I45" s="43">
        <f>N31</f>
        <v>17432.940000000002</v>
      </c>
      <c r="J45" s="43">
        <f>N9</f>
        <v>23391.940000000002</v>
      </c>
      <c r="K45" s="43">
        <f>N20</f>
        <v>8689.7049999999999</v>
      </c>
      <c r="L45" s="42" t="s">
        <v>69</v>
      </c>
    </row>
    <row r="46" spans="1:12" x14ac:dyDescent="0.35">
      <c r="G46" s="2" t="s">
        <v>16</v>
      </c>
      <c r="H46" s="42" t="s">
        <v>67</v>
      </c>
      <c r="I46" s="43">
        <f>O31</f>
        <v>14988.94</v>
      </c>
      <c r="J46" s="43">
        <f>O9</f>
        <v>14464.94</v>
      </c>
      <c r="K46" s="43">
        <f>O20</f>
        <v>5342.08</v>
      </c>
      <c r="L46" s="42" t="s">
        <v>69</v>
      </c>
    </row>
    <row r="47" spans="1:12" x14ac:dyDescent="0.35">
      <c r="G47" s="2" t="s">
        <v>17</v>
      </c>
      <c r="H47" s="42" t="s">
        <v>67</v>
      </c>
      <c r="I47" s="43">
        <f>P31</f>
        <v>9258.76</v>
      </c>
      <c r="J47" s="43">
        <f>P9</f>
        <v>8996.76</v>
      </c>
      <c r="K47" s="43">
        <f>P20</f>
        <v>5342.08</v>
      </c>
      <c r="L47" s="42" t="s">
        <v>69</v>
      </c>
    </row>
    <row r="48" spans="1:12" x14ac:dyDescent="0.35">
      <c r="G48" s="2" t="s">
        <v>18</v>
      </c>
      <c r="H48" s="42" t="s">
        <v>67</v>
      </c>
      <c r="I48" s="43">
        <f>Q31</f>
        <v>4923.58</v>
      </c>
      <c r="J48" s="43">
        <f>Q9</f>
        <v>4792.58</v>
      </c>
      <c r="K48" s="43">
        <f>Q20</f>
        <v>2744.59</v>
      </c>
      <c r="L48" s="42" t="s">
        <v>69</v>
      </c>
    </row>
    <row r="49" spans="7:7" x14ac:dyDescent="0.35">
      <c r="G49" s="44" t="s">
        <v>70</v>
      </c>
    </row>
    <row r="50" spans="7:7" x14ac:dyDescent="0.35">
      <c r="G50" s="44" t="s">
        <v>71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Calculator</vt:lpstr>
      <vt:lpstr>Calculator (2)</vt:lpstr>
      <vt:lpstr>Calculator (1)</vt:lpstr>
      <vt:lpstr>Undergraduate</vt:lpstr>
      <vt:lpstr>Graduate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Dove</dc:creator>
  <cp:lastModifiedBy>Emanuel</cp:lastModifiedBy>
  <cp:lastPrinted>2021-08-17T20:03:16Z</cp:lastPrinted>
  <dcterms:created xsi:type="dcterms:W3CDTF">2021-06-18T14:52:49Z</dcterms:created>
  <dcterms:modified xsi:type="dcterms:W3CDTF">2022-06-07T17:07:34Z</dcterms:modified>
</cp:coreProperties>
</file>