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updateLinks="never" codeName="ThisWorkbook"/>
  <mc:AlternateContent xmlns:mc="http://schemas.openxmlformats.org/markup-compatibility/2006">
    <mc:Choice Requires="x15">
      <x15ac:absPath xmlns:x15ac="http://schemas.microsoft.com/office/spreadsheetml/2010/11/ac" url="C:\Users\jnr734\Documents\Application Risk Assesments\"/>
    </mc:Choice>
  </mc:AlternateContent>
  <xr:revisionPtr revIDLastSave="0" documentId="13_ncr:1_{E5C28732-AB26-450D-86E3-15DB2B198DD5}" xr6:coauthVersionLast="44" xr6:coauthVersionMax="44" xr10:uidLastSave="{00000000-0000-0000-0000-000000000000}"/>
  <bookViews>
    <workbookView xWindow="-120" yWindow="-120" windowWidth="29040" windowHeight="16440" tabRatio="934" activeTab="2" xr2:uid="{00000000-000D-0000-FFFF-FFFF00000000}"/>
  </bookViews>
  <sheets>
    <sheet name="Introduction" sheetId="17" r:id="rId1"/>
    <sheet name="Instructions" sheetId="7" r:id="rId2"/>
    <sheet name="HECVAT" sheetId="1" r:id="rId3"/>
    <sheet name="Standards Crosswalk" sheetId="10" r:id="rId4"/>
    <sheet name="Analyst Report" sheetId="14" r:id="rId5"/>
    <sheet name="Summary Report" sheetId="15" r:id="rId6"/>
    <sheet name="Crosswalk Detail" sheetId="12" state="hidden" r:id="rId7"/>
    <sheet name="Questions" sheetId="13" state="hidden" r:id="rId8"/>
    <sheet name="High Risk Non-Compliant" sheetId="16" state="hidden" r:id="rId9"/>
    <sheet name="Acknowledgments" sheetId="6" r:id="rId10"/>
    <sheet name="ChangeLog" sheetId="3" r:id="rId11"/>
    <sheet name="Values" sheetId="2" state="hidden" r:id="rId12"/>
  </sheets>
  <definedNames>
    <definedName name="_ftn1" localSheetId="1">Instructions!$A$35</definedName>
    <definedName name="_ftnref1" localSheetId="1">Instructions!$A$4</definedName>
    <definedName name="_xlcn.LinkedTable_Table1" hidden="1">Table1[]</definedName>
    <definedName name="dr">Values!$A$4:$A$6</definedName>
    <definedName name="drpt">Values!$A$9:$A$12</definedName>
    <definedName name="network">V+Values!$A$15:$A$19</definedName>
    <definedName name="sharedassessments">Values!$A$26:$A$27</definedName>
    <definedName name="sharedassessmentslisting">Values!$A$30:$A$31</definedName>
    <definedName name="uptime">Values!$A$34:$A$38</definedName>
    <definedName name="yes">Values!$A$4:$A$5</definedName>
    <definedName name="yesna">Values!$A$4:$A$6</definedName>
  </definedNames>
  <calcPr calcId="191029"/>
  <pivotCaches>
    <pivotCache cacheId="0" r:id="rId13"/>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8" i="15" l="1"/>
  <c r="D78" i="14" l="1"/>
  <c r="D77" i="14"/>
  <c r="D76" i="14"/>
  <c r="D75" i="14"/>
  <c r="A3" i="13"/>
  <c r="A4" i="13"/>
  <c r="A5" i="13"/>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41" i="14"/>
  <c r="A42" i="14"/>
  <c r="A43" i="14"/>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H68" i="14" s="1"/>
  <c r="A68" i="14"/>
  <c r="B68" i="14"/>
  <c r="D68" i="14"/>
  <c r="B69" i="14"/>
  <c r="H73" i="14" s="1"/>
  <c r="A70" i="14"/>
  <c r="B70" i="14"/>
  <c r="D70" i="14"/>
  <c r="H70" i="14"/>
  <c r="A71" i="14"/>
  <c r="B71" i="14"/>
  <c r="D71" i="14"/>
  <c r="H71" i="14"/>
  <c r="A72" i="14"/>
  <c r="B72" i="14"/>
  <c r="D72" i="14"/>
  <c r="A73" i="14"/>
  <c r="B73" i="14"/>
  <c r="D73" i="14"/>
  <c r="B74" i="14"/>
  <c r="H77" i="14" s="1"/>
  <c r="A75" i="14"/>
  <c r="B75" i="14"/>
  <c r="A76" i="14"/>
  <c r="B76" i="14"/>
  <c r="A77" i="14"/>
  <c r="B77" i="14"/>
  <c r="A78" i="14"/>
  <c r="B78" i="14"/>
  <c r="B79" i="14"/>
  <c r="A80" i="14"/>
  <c r="B80" i="14"/>
  <c r="D80" i="14"/>
  <c r="H80" i="14"/>
  <c r="B81" i="14"/>
  <c r="H82" i="14" s="1"/>
  <c r="A82" i="14"/>
  <c r="B82" i="14"/>
  <c r="D82" i="14"/>
  <c r="A83" i="14"/>
  <c r="B83" i="14"/>
  <c r="D83" i="14"/>
  <c r="H83" i="14"/>
  <c r="B84" i="14"/>
  <c r="A85" i="14"/>
  <c r="B85" i="14"/>
  <c r="D85" i="14"/>
  <c r="H85" i="14"/>
  <c r="A86" i="14"/>
  <c r="B86" i="14"/>
  <c r="D86" i="14"/>
  <c r="H86" i="14"/>
  <c r="A87" i="14"/>
  <c r="B87" i="14"/>
  <c r="D87" i="14"/>
  <c r="H87" i="14"/>
  <c r="A88" i="14"/>
  <c r="B88" i="14"/>
  <c r="D88" i="14"/>
  <c r="H88" i="14"/>
  <c r="A46" i="1"/>
  <c r="A51" i="1"/>
  <c r="A61" i="1"/>
  <c r="A79" i="1"/>
  <c r="E24" i="1"/>
  <c r="E25" i="1"/>
  <c r="E26" i="1"/>
  <c r="E27" i="1"/>
  <c r="E28" i="1"/>
  <c r="E29" i="1"/>
  <c r="E30" i="1"/>
  <c r="E32" i="1"/>
  <c r="E33" i="1"/>
  <c r="E34" i="1"/>
  <c r="E35" i="1"/>
  <c r="E36" i="1"/>
  <c r="E37" i="1"/>
  <c r="E41" i="1"/>
  <c r="E42" i="1"/>
  <c r="E43" i="1"/>
  <c r="E44" i="1"/>
  <c r="E52" i="1"/>
  <c r="E53" i="1"/>
  <c r="E54" i="1"/>
  <c r="E55" i="1"/>
  <c r="E56" i="1"/>
  <c r="E57" i="1"/>
  <c r="E58" i="1"/>
  <c r="E59" i="1"/>
  <c r="E60" i="1"/>
  <c r="E62" i="1"/>
  <c r="E63" i="1"/>
  <c r="E64" i="1"/>
  <c r="E65" i="1"/>
  <c r="E66" i="1"/>
  <c r="E67" i="1"/>
  <c r="E69" i="1"/>
  <c r="E72" i="1"/>
  <c r="E74" i="1"/>
  <c r="E75" i="1"/>
  <c r="E80" i="1"/>
  <c r="E81" i="1"/>
  <c r="E82" i="1"/>
  <c r="E83" i="1"/>
  <c r="E84" i="1"/>
  <c r="E85" i="1"/>
  <c r="E86" i="1"/>
  <c r="E87" i="1"/>
  <c r="E88" i="1"/>
  <c r="E89" i="1"/>
  <c r="E90" i="1"/>
  <c r="E91" i="1"/>
  <c r="E92" i="1"/>
  <c r="E93" i="1"/>
  <c r="E94" i="1"/>
  <c r="A97" i="1"/>
  <c r="E99" i="1"/>
  <c r="E100" i="1"/>
  <c r="E101" i="1"/>
  <c r="E102" i="1"/>
  <c r="E103" i="1"/>
  <c r="E104" i="1"/>
  <c r="E105" i="1"/>
  <c r="E106" i="1"/>
  <c r="E107" i="1"/>
  <c r="E108" i="1"/>
  <c r="E109" i="1"/>
  <c r="A110" i="1"/>
  <c r="E111" i="1"/>
  <c r="E113"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49" i="1"/>
  <c r="E150" i="1"/>
  <c r="E151" i="1"/>
  <c r="E152" i="1"/>
  <c r="E153" i="1"/>
  <c r="E154" i="1"/>
  <c r="A155" i="1"/>
  <c r="E156" i="1"/>
  <c r="E157" i="1"/>
  <c r="A158" i="1"/>
  <c r="E159" i="1"/>
  <c r="E160" i="1"/>
  <c r="E161" i="1"/>
  <c r="E162" i="1"/>
  <c r="E163" i="1"/>
  <c r="E164" i="1"/>
  <c r="E166" i="1"/>
  <c r="E167" i="1"/>
  <c r="E169" i="1"/>
  <c r="E170" i="1"/>
  <c r="E172" i="1"/>
  <c r="E173" i="1"/>
  <c r="E174" i="1"/>
  <c r="E177" i="1"/>
  <c r="A178" i="1"/>
  <c r="E180" i="1"/>
  <c r="E181" i="1"/>
  <c r="E182" i="1"/>
  <c r="E183" i="1"/>
  <c r="E184" i="1"/>
  <c r="E185" i="1"/>
  <c r="E186" i="1"/>
  <c r="E188" i="1"/>
  <c r="E189" i="1"/>
  <c r="E190" i="1"/>
  <c r="E191" i="1"/>
  <c r="A192" i="1"/>
  <c r="E193" i="1"/>
  <c r="E194" i="1"/>
  <c r="E196" i="1"/>
  <c r="E197" i="1"/>
  <c r="E198" i="1"/>
  <c r="E199" i="1"/>
  <c r="E200" i="1"/>
  <c r="E201" i="1"/>
  <c r="E202" i="1"/>
  <c r="E204" i="1"/>
  <c r="A205" i="1"/>
  <c r="E208" i="1"/>
  <c r="E209" i="1"/>
  <c r="E210" i="1"/>
  <c r="E211" i="1"/>
  <c r="E212" i="1"/>
  <c r="E213" i="1"/>
  <c r="E214" i="1"/>
  <c r="E215" i="1"/>
  <c r="A217" i="1"/>
  <c r="E218" i="1"/>
  <c r="E219" i="1"/>
  <c r="E220" i="1"/>
  <c r="E221" i="1"/>
  <c r="E222" i="1"/>
  <c r="A223" i="1"/>
  <c r="E224" i="1"/>
  <c r="E225" i="1"/>
  <c r="E226" i="1"/>
  <c r="E227" i="1"/>
  <c r="E228" i="1"/>
  <c r="E229" i="1"/>
  <c r="E230" i="1"/>
  <c r="E231" i="1"/>
  <c r="E232" i="1"/>
  <c r="E233" i="1"/>
  <c r="E234" i="1"/>
  <c r="E235" i="1"/>
  <c r="E236" i="1"/>
  <c r="E237" i="1"/>
  <c r="E238" i="1"/>
  <c r="E239" i="1"/>
  <c r="E240" i="1"/>
  <c r="E241" i="1"/>
  <c r="E242" i="1"/>
  <c r="E243" i="1"/>
  <c r="A244" i="1"/>
  <c r="E245" i="1"/>
  <c r="E246" i="1"/>
  <c r="A247" i="1"/>
  <c r="E249" i="1"/>
  <c r="E250" i="1"/>
  <c r="E251" i="1"/>
  <c r="E252" i="1"/>
  <c r="A253" i="1"/>
  <c r="E254" i="1"/>
  <c r="E255" i="1"/>
  <c r="E256" i="1"/>
  <c r="E257" i="1"/>
  <c r="A258" i="1"/>
  <c r="E259" i="1"/>
  <c r="E260" i="1"/>
  <c r="E261" i="1"/>
  <c r="E262" i="1"/>
  <c r="E263" i="1"/>
  <c r="E265" i="1"/>
  <c r="E267" i="1"/>
  <c r="A268" i="1"/>
  <c r="A300" i="1"/>
  <c r="E311" i="1"/>
  <c r="C10" i="14"/>
  <c r="I50" i="13"/>
  <c r="J50" i="13" s="1"/>
  <c r="I112" i="13"/>
  <c r="J112" i="13" s="1"/>
  <c r="I107" i="13"/>
  <c r="J107" i="13" s="1"/>
  <c r="L107" i="13" s="1"/>
  <c r="F8" i="14"/>
  <c r="B8" i="14"/>
  <c r="F5" i="14"/>
  <c r="B6" i="14"/>
  <c r="F6" i="14"/>
  <c r="B7" i="14"/>
  <c r="B5" i="14"/>
  <c r="G48" i="15"/>
  <c r="E3" i="15"/>
  <c r="B3" i="15"/>
  <c r="H1" i="14"/>
  <c r="H1" i="15"/>
  <c r="I27" i="13"/>
  <c r="H28" i="13" s="1"/>
  <c r="I25" i="13"/>
  <c r="I26" i="13" s="1"/>
  <c r="J26" i="13" s="1"/>
  <c r="K209" i="13"/>
  <c r="I122" i="13"/>
  <c r="I124" i="13"/>
  <c r="J124" i="13" s="1"/>
  <c r="I127" i="13"/>
  <c r="B128" i="13" s="1"/>
  <c r="I133" i="13"/>
  <c r="H134" i="13" s="1"/>
  <c r="K134" i="13" s="1"/>
  <c r="E134" i="13" s="1"/>
  <c r="I10" i="13"/>
  <c r="J10" i="13" s="1"/>
  <c r="L10" i="13" s="1"/>
  <c r="K10" i="13"/>
  <c r="I11" i="13"/>
  <c r="J11" i="13" s="1"/>
  <c r="L11" i="13" s="1"/>
  <c r="K11" i="13"/>
  <c r="I12" i="13"/>
  <c r="J12" i="13" s="1"/>
  <c r="K12" i="13"/>
  <c r="I13" i="13"/>
  <c r="J13" i="13" s="1"/>
  <c r="K13" i="13"/>
  <c r="I14" i="13"/>
  <c r="J14" i="13" s="1"/>
  <c r="L14" i="13" s="1"/>
  <c r="K14" i="13"/>
  <c r="I15" i="13"/>
  <c r="J15" i="13" s="1"/>
  <c r="L15" i="13" s="1"/>
  <c r="K15" i="13"/>
  <c r="I20" i="13"/>
  <c r="J20" i="13" s="1"/>
  <c r="K20" i="13"/>
  <c r="I21" i="13"/>
  <c r="J21" i="13" s="1"/>
  <c r="K21" i="13"/>
  <c r="I22" i="13"/>
  <c r="J22" i="13" s="1"/>
  <c r="L22" i="13" s="1"/>
  <c r="K22" i="13"/>
  <c r="I23" i="13"/>
  <c r="J23" i="13" s="1"/>
  <c r="L23" i="13" s="1"/>
  <c r="K23" i="13"/>
  <c r="I24" i="13"/>
  <c r="J24" i="13" s="1"/>
  <c r="L24" i="13" s="1"/>
  <c r="K24" i="13"/>
  <c r="K25" i="13"/>
  <c r="J27" i="13"/>
  <c r="K27" i="13"/>
  <c r="I29" i="13"/>
  <c r="J29" i="13"/>
  <c r="L29" i="13" s="1"/>
  <c r="K29" i="13"/>
  <c r="I30" i="13"/>
  <c r="J30" i="13" s="1"/>
  <c r="L30" i="13" s="1"/>
  <c r="K30" i="13"/>
  <c r="I31" i="13"/>
  <c r="J31" i="13" s="1"/>
  <c r="K31" i="13"/>
  <c r="I32" i="13"/>
  <c r="J32" i="13" s="1"/>
  <c r="K32" i="13"/>
  <c r="I33" i="13"/>
  <c r="J33" i="13" s="1"/>
  <c r="K33" i="13"/>
  <c r="I34" i="13"/>
  <c r="J34" i="13" s="1"/>
  <c r="K34" i="13"/>
  <c r="I36" i="13"/>
  <c r="J36" i="13" s="1"/>
  <c r="K36" i="13"/>
  <c r="I39" i="13"/>
  <c r="J39" i="13" s="1"/>
  <c r="K39" i="13"/>
  <c r="I42" i="13"/>
  <c r="J42" i="13" s="1"/>
  <c r="K42" i="13"/>
  <c r="I45" i="13"/>
  <c r="K45" i="13"/>
  <c r="I46" i="13"/>
  <c r="J46" i="13" s="1"/>
  <c r="K46" i="13"/>
  <c r="I47" i="13"/>
  <c r="J47" i="13" s="1"/>
  <c r="L47" i="13" s="1"/>
  <c r="K47" i="13"/>
  <c r="I48" i="13"/>
  <c r="J48" i="13" s="1"/>
  <c r="L48" i="13" s="1"/>
  <c r="K48" i="13"/>
  <c r="I49" i="13"/>
  <c r="J49" i="13" s="1"/>
  <c r="L49" i="13" s="1"/>
  <c r="K49" i="13"/>
  <c r="I51" i="13"/>
  <c r="J51" i="13" s="1"/>
  <c r="K51" i="13"/>
  <c r="I52" i="13"/>
  <c r="J52" i="13" s="1"/>
  <c r="L52" i="13" s="1"/>
  <c r="K52" i="13"/>
  <c r="I53" i="13"/>
  <c r="J53" i="13" s="1"/>
  <c r="L53" i="13" s="1"/>
  <c r="K53" i="13"/>
  <c r="I54" i="13"/>
  <c r="J54" i="13" s="1"/>
  <c r="L54" i="13" s="1"/>
  <c r="K54" i="13"/>
  <c r="I55" i="13"/>
  <c r="J55" i="13" s="1"/>
  <c r="K55" i="13"/>
  <c r="I56" i="13"/>
  <c r="J56" i="13" s="1"/>
  <c r="I57" i="13"/>
  <c r="J57" i="13" s="1"/>
  <c r="L57" i="13" s="1"/>
  <c r="K57" i="13"/>
  <c r="I58" i="13"/>
  <c r="J58" i="13" s="1"/>
  <c r="I59" i="13"/>
  <c r="J59" i="13" s="1"/>
  <c r="I60" i="13"/>
  <c r="J60" i="13" s="1"/>
  <c r="K60" i="13"/>
  <c r="I62" i="13"/>
  <c r="J62" i="13" s="1"/>
  <c r="L62" i="13" s="1"/>
  <c r="K62" i="13"/>
  <c r="I64" i="13"/>
  <c r="J64" i="13" s="1"/>
  <c r="L64" i="13" s="1"/>
  <c r="K64" i="13"/>
  <c r="I65" i="13"/>
  <c r="J65" i="13" s="1"/>
  <c r="L65" i="13" s="1"/>
  <c r="K65" i="13"/>
  <c r="I66" i="13"/>
  <c r="J66" i="13" s="1"/>
  <c r="K66" i="13"/>
  <c r="E66" i="13" s="1"/>
  <c r="I67" i="13"/>
  <c r="J67" i="13" s="1"/>
  <c r="L67" i="13" s="1"/>
  <c r="K67" i="13"/>
  <c r="I68" i="13"/>
  <c r="J68" i="13" s="1"/>
  <c r="L68" i="13" s="1"/>
  <c r="K68" i="13"/>
  <c r="I69" i="13"/>
  <c r="J69" i="13" s="1"/>
  <c r="L69" i="13" s="1"/>
  <c r="K69" i="13"/>
  <c r="I70" i="13"/>
  <c r="J70" i="13" s="1"/>
  <c r="K70" i="13"/>
  <c r="E70" i="13" s="1"/>
  <c r="I71" i="13"/>
  <c r="J71" i="13" s="1"/>
  <c r="L71" i="13" s="1"/>
  <c r="K71" i="13"/>
  <c r="I72" i="13"/>
  <c r="J72" i="13" s="1"/>
  <c r="L72" i="13" s="1"/>
  <c r="K72" i="13"/>
  <c r="I73" i="13"/>
  <c r="J73" i="13" s="1"/>
  <c r="I74" i="13"/>
  <c r="J74" i="13" s="1"/>
  <c r="K74" i="13"/>
  <c r="I75" i="13"/>
  <c r="J75" i="13" s="1"/>
  <c r="L75" i="13" s="1"/>
  <c r="K75" i="13"/>
  <c r="I77" i="13"/>
  <c r="J77" i="13" s="1"/>
  <c r="K77" i="13"/>
  <c r="I78" i="13"/>
  <c r="J78" i="13" s="1"/>
  <c r="K78" i="13"/>
  <c r="I81" i="13"/>
  <c r="J81" i="13" s="1"/>
  <c r="K81" i="13"/>
  <c r="I82" i="13"/>
  <c r="J82" i="13" s="1"/>
  <c r="L82" i="13" s="1"/>
  <c r="K82" i="13"/>
  <c r="I83" i="13"/>
  <c r="J83" i="13" s="1"/>
  <c r="K83" i="13"/>
  <c r="I84" i="13"/>
  <c r="J84" i="13" s="1"/>
  <c r="K84" i="13"/>
  <c r="I85" i="13"/>
  <c r="J85" i="13" s="1"/>
  <c r="K85" i="13"/>
  <c r="I86" i="13"/>
  <c r="J86" i="13" s="1"/>
  <c r="L86" i="13" s="1"/>
  <c r="K86" i="13"/>
  <c r="I87" i="13"/>
  <c r="J87" i="13" s="1"/>
  <c r="L87" i="13" s="1"/>
  <c r="K87" i="13"/>
  <c r="I88" i="13"/>
  <c r="J88" i="13" s="1"/>
  <c r="K88" i="13"/>
  <c r="I89" i="13"/>
  <c r="J89" i="13" s="1"/>
  <c r="K89" i="13"/>
  <c r="I90" i="13"/>
  <c r="J90" i="13" s="1"/>
  <c r="L90" i="13" s="1"/>
  <c r="K90" i="13"/>
  <c r="I91" i="13"/>
  <c r="J91" i="13" s="1"/>
  <c r="L91" i="13" s="1"/>
  <c r="K91" i="13"/>
  <c r="I92" i="13"/>
  <c r="J92" i="13" s="1"/>
  <c r="K92" i="13"/>
  <c r="I93" i="13"/>
  <c r="J93" i="13" s="1"/>
  <c r="K93" i="13"/>
  <c r="I94" i="13"/>
  <c r="J94" i="13" s="1"/>
  <c r="L94" i="13" s="1"/>
  <c r="K94" i="13"/>
  <c r="I95" i="13"/>
  <c r="J95" i="13" s="1"/>
  <c r="L95" i="13" s="1"/>
  <c r="K95" i="13"/>
  <c r="I97" i="13"/>
  <c r="J97" i="13" s="1"/>
  <c r="L97" i="13" s="1"/>
  <c r="K97" i="13"/>
  <c r="I98" i="13"/>
  <c r="J98" i="13" s="1"/>
  <c r="L98" i="13" s="1"/>
  <c r="K98" i="13"/>
  <c r="I99" i="13"/>
  <c r="J99" i="13" s="1"/>
  <c r="L99" i="13" s="1"/>
  <c r="K99" i="13"/>
  <c r="I100" i="13"/>
  <c r="J100" i="13" s="1"/>
  <c r="L100" i="13" s="1"/>
  <c r="K100" i="13"/>
  <c r="I101" i="13"/>
  <c r="J101" i="13" s="1"/>
  <c r="I102" i="13"/>
  <c r="J102" i="13" s="1"/>
  <c r="K102" i="13"/>
  <c r="I104" i="13"/>
  <c r="J104" i="13" s="1"/>
  <c r="K104" i="13"/>
  <c r="E104" i="13" s="1"/>
  <c r="I106" i="13"/>
  <c r="J106" i="13" s="1"/>
  <c r="K106" i="13"/>
  <c r="I108" i="13"/>
  <c r="J108" i="13" s="1"/>
  <c r="K108" i="13"/>
  <c r="I109" i="13"/>
  <c r="J109" i="13" s="1"/>
  <c r="L109" i="13" s="1"/>
  <c r="K109" i="13"/>
  <c r="I110" i="13"/>
  <c r="J110" i="13" s="1"/>
  <c r="L110" i="13" s="1"/>
  <c r="K110" i="13"/>
  <c r="I111" i="13"/>
  <c r="J111" i="13" s="1"/>
  <c r="L111" i="13" s="1"/>
  <c r="K111" i="13"/>
  <c r="I113" i="13"/>
  <c r="J113" i="13" s="1"/>
  <c r="L113" i="13" s="1"/>
  <c r="K113" i="13"/>
  <c r="I114" i="13"/>
  <c r="J114" i="13" s="1"/>
  <c r="L114" i="13" s="1"/>
  <c r="K114" i="13"/>
  <c r="I115" i="13"/>
  <c r="J115" i="13" s="1"/>
  <c r="L115" i="13" s="1"/>
  <c r="K115" i="13"/>
  <c r="I116" i="13"/>
  <c r="J116" i="13" s="1"/>
  <c r="L116" i="13" s="1"/>
  <c r="K116" i="13"/>
  <c r="I117" i="13"/>
  <c r="J117" i="13" s="1"/>
  <c r="L117" i="13" s="1"/>
  <c r="K117" i="13"/>
  <c r="I118" i="13"/>
  <c r="J118" i="13" s="1"/>
  <c r="L118" i="13" s="1"/>
  <c r="K118" i="13"/>
  <c r="I119" i="13"/>
  <c r="J119" i="13" s="1"/>
  <c r="L119" i="13" s="1"/>
  <c r="K119" i="13"/>
  <c r="I120" i="13"/>
  <c r="J120" i="13" s="1"/>
  <c r="K120" i="13"/>
  <c r="I121" i="13"/>
  <c r="J121" i="13" s="1"/>
  <c r="K121" i="13"/>
  <c r="J122" i="13"/>
  <c r="L122" i="13" s="1"/>
  <c r="H123" i="13"/>
  <c r="H124" i="13"/>
  <c r="K124" i="13" s="1"/>
  <c r="E124" i="13" s="1"/>
  <c r="I126" i="13"/>
  <c r="J126" i="13" s="1"/>
  <c r="K126" i="13"/>
  <c r="J127" i="13"/>
  <c r="L127" i="13" s="1"/>
  <c r="H128" i="13"/>
  <c r="K128" i="13" s="1"/>
  <c r="E128" i="13" s="1"/>
  <c r="I129" i="13"/>
  <c r="J129" i="13" s="1"/>
  <c r="L129" i="13" s="1"/>
  <c r="K129" i="13"/>
  <c r="I130" i="13"/>
  <c r="J130" i="13" s="1"/>
  <c r="L130" i="13" s="1"/>
  <c r="K130" i="13"/>
  <c r="I132" i="13"/>
  <c r="J132" i="13" s="1"/>
  <c r="L132" i="13" s="1"/>
  <c r="K132" i="13"/>
  <c r="J133" i="13"/>
  <c r="K133" i="13"/>
  <c r="I134" i="13"/>
  <c r="J134" i="13" s="1"/>
  <c r="I137" i="13"/>
  <c r="J137" i="13" s="1"/>
  <c r="L137" i="13" s="1"/>
  <c r="K137" i="13"/>
  <c r="K139" i="13"/>
  <c r="I140" i="13"/>
  <c r="J140" i="13" s="1"/>
  <c r="L140" i="13" s="1"/>
  <c r="K140" i="13"/>
  <c r="K141" i="13"/>
  <c r="K142" i="13"/>
  <c r="I143" i="13"/>
  <c r="J143" i="13" s="1"/>
  <c r="K145" i="13"/>
  <c r="K149" i="13"/>
  <c r="K150" i="13"/>
  <c r="I156" i="13"/>
  <c r="J156" i="13" s="1"/>
  <c r="L156" i="13" s="1"/>
  <c r="K156" i="13"/>
  <c r="K158" i="13"/>
  <c r="K160" i="13"/>
  <c r="K162" i="13"/>
  <c r="E162" i="13" s="1"/>
  <c r="K165" i="13"/>
  <c r="K166" i="13"/>
  <c r="K167" i="13"/>
  <c r="I168" i="13"/>
  <c r="J168" i="13" s="1"/>
  <c r="L168" i="13" s="1"/>
  <c r="K168" i="13"/>
  <c r="K169" i="13"/>
  <c r="K171" i="13"/>
  <c r="K172" i="13"/>
  <c r="I175" i="13"/>
  <c r="J175" i="13" s="1"/>
  <c r="L175" i="13" s="1"/>
  <c r="K175" i="13"/>
  <c r="K176" i="13"/>
  <c r="K177" i="13"/>
  <c r="K178" i="13"/>
  <c r="I180" i="13"/>
  <c r="J180" i="13" s="1"/>
  <c r="L180" i="13" s="1"/>
  <c r="K180" i="13"/>
  <c r="K181" i="13"/>
  <c r="K182" i="13"/>
  <c r="K183" i="13"/>
  <c r="K184" i="13"/>
  <c r="K185" i="13"/>
  <c r="K186" i="13"/>
  <c r="I187" i="13"/>
  <c r="J187" i="13" s="1"/>
  <c r="L187" i="13" s="1"/>
  <c r="K187" i="13"/>
  <c r="K188" i="13"/>
  <c r="K189" i="13"/>
  <c r="K190" i="13"/>
  <c r="I191" i="13"/>
  <c r="J191" i="13" s="1"/>
  <c r="L191" i="13" s="1"/>
  <c r="K191" i="13"/>
  <c r="K192" i="13"/>
  <c r="K193" i="13"/>
  <c r="K194" i="13"/>
  <c r="I195" i="13"/>
  <c r="J195" i="13" s="1"/>
  <c r="L195" i="13" s="1"/>
  <c r="K195" i="13"/>
  <c r="K196" i="13"/>
  <c r="K197" i="13"/>
  <c r="K198" i="13"/>
  <c r="K199" i="13"/>
  <c r="K200" i="13"/>
  <c r="K202" i="13"/>
  <c r="I203" i="13"/>
  <c r="J203" i="13" s="1"/>
  <c r="L203" i="13" s="1"/>
  <c r="K203" i="13"/>
  <c r="K204" i="13"/>
  <c r="K205" i="13"/>
  <c r="K206" i="13"/>
  <c r="K207" i="13"/>
  <c r="K208" i="13"/>
  <c r="K210" i="13"/>
  <c r="I212" i="13"/>
  <c r="J212" i="13" s="1"/>
  <c r="L212" i="13" s="1"/>
  <c r="K212" i="13"/>
  <c r="K213" i="13"/>
  <c r="K214" i="13"/>
  <c r="K216" i="13"/>
  <c r="K218" i="13"/>
  <c r="K219" i="13"/>
  <c r="K220" i="13"/>
  <c r="K221" i="13"/>
  <c r="I222" i="13"/>
  <c r="J222" i="13" s="1"/>
  <c r="L222" i="13" s="1"/>
  <c r="K222" i="13"/>
  <c r="K223" i="13"/>
  <c r="K224" i="13"/>
  <c r="K225" i="13"/>
  <c r="I226" i="13"/>
  <c r="J226" i="13" s="1"/>
  <c r="L226" i="13" s="1"/>
  <c r="K226" i="13"/>
  <c r="K227" i="13"/>
  <c r="K228" i="13"/>
  <c r="K229" i="13"/>
  <c r="I230" i="13"/>
  <c r="J230" i="13" s="1"/>
  <c r="L230" i="13" s="1"/>
  <c r="K230" i="13"/>
  <c r="K231" i="13"/>
  <c r="K232" i="13"/>
  <c r="K233" i="13"/>
  <c r="I234" i="13"/>
  <c r="J234" i="13" s="1"/>
  <c r="L234" i="13" s="1"/>
  <c r="K234" i="13"/>
  <c r="K235" i="13"/>
  <c r="K236" i="13"/>
  <c r="K237" i="13"/>
  <c r="I238" i="13"/>
  <c r="J238" i="13" s="1"/>
  <c r="L238" i="13" s="1"/>
  <c r="K238" i="13"/>
  <c r="K239" i="13"/>
  <c r="K240" i="13"/>
  <c r="K242" i="13"/>
  <c r="I243" i="13"/>
  <c r="J243" i="13" s="1"/>
  <c r="L243" i="13" s="1"/>
  <c r="K243" i="13"/>
  <c r="K244" i="13"/>
  <c r="K245" i="13"/>
  <c r="K246" i="13"/>
  <c r="I247" i="13"/>
  <c r="J247" i="13" s="1"/>
  <c r="L247" i="13" s="1"/>
  <c r="K247" i="13"/>
  <c r="K248" i="13"/>
  <c r="K249" i="13"/>
  <c r="K250" i="13"/>
  <c r="I251" i="13"/>
  <c r="J251" i="13" s="1"/>
  <c r="L251" i="13" s="1"/>
  <c r="K251" i="13"/>
  <c r="K252" i="13"/>
  <c r="K253" i="13"/>
  <c r="K254" i="13"/>
  <c r="I258" i="13"/>
  <c r="J258" i="13" s="1"/>
  <c r="L258" i="13" s="1"/>
  <c r="K258" i="13"/>
  <c r="K259" i="13"/>
  <c r="K260" i="13"/>
  <c r="I264" i="13"/>
  <c r="J264" i="13" s="1"/>
  <c r="L264" i="13" s="1"/>
  <c r="K264" i="13"/>
  <c r="I265" i="13"/>
  <c r="J265" i="13" s="1"/>
  <c r="L265" i="13" s="1"/>
  <c r="K265" i="13"/>
  <c r="I266" i="13"/>
  <c r="J266" i="13" s="1"/>
  <c r="L266" i="13" s="1"/>
  <c r="K266" i="13"/>
  <c r="I267" i="13"/>
  <c r="J267" i="13" s="1"/>
  <c r="L267" i="13" s="1"/>
  <c r="K267" i="13"/>
  <c r="I40" i="13"/>
  <c r="D40" i="13"/>
  <c r="C40" i="13"/>
  <c r="K40" i="13"/>
  <c r="K135" i="13"/>
  <c r="K138" i="13"/>
  <c r="K215" i="13"/>
  <c r="K201" i="13"/>
  <c r="K163" i="13"/>
  <c r="K131" i="13"/>
  <c r="K112" i="13"/>
  <c r="E112" i="13" s="1"/>
  <c r="K107" i="13"/>
  <c r="K268" i="13"/>
  <c r="E268" i="13" s="1"/>
  <c r="K255" i="13"/>
  <c r="K173" i="13"/>
  <c r="K261" i="13"/>
  <c r="K257" i="13"/>
  <c r="K256" i="13"/>
  <c r="K241" i="13"/>
  <c r="E241" i="13" s="1"/>
  <c r="K217" i="13"/>
  <c r="K179" i="13"/>
  <c r="K174" i="13"/>
  <c r="K170" i="13"/>
  <c r="K164" i="13"/>
  <c r="K159" i="13"/>
  <c r="K153" i="13"/>
  <c r="K147" i="13"/>
  <c r="E147" i="13" s="1"/>
  <c r="K146" i="13"/>
  <c r="K136" i="13"/>
  <c r="K125" i="13"/>
  <c r="K105" i="13"/>
  <c r="K103" i="13"/>
  <c r="K96" i="13"/>
  <c r="K76" i="13"/>
  <c r="K50" i="13"/>
  <c r="L50" i="13" s="1"/>
  <c r="K79" i="13"/>
  <c r="K63" i="13"/>
  <c r="K61" i="13"/>
  <c r="K44" i="13"/>
  <c r="K43" i="13"/>
  <c r="K38" i="13"/>
  <c r="K19" i="13"/>
  <c r="K18" i="13"/>
  <c r="E18" i="13" s="1"/>
  <c r="K17" i="13"/>
  <c r="K16" i="13"/>
  <c r="K35" i="13"/>
  <c r="K41" i="13"/>
  <c r="K37" i="13"/>
  <c r="K263" i="13"/>
  <c r="E263" i="13" s="1"/>
  <c r="K262" i="13"/>
  <c r="K80" i="13"/>
  <c r="E80" i="13" s="1"/>
  <c r="K9" i="13"/>
  <c r="K8" i="13"/>
  <c r="K7" i="13"/>
  <c r="K5" i="13"/>
  <c r="K4" i="13"/>
  <c r="K3" i="13"/>
  <c r="K2" i="13"/>
  <c r="A38" i="14"/>
  <c r="A39" i="14"/>
  <c r="A40" i="14"/>
  <c r="J35" i="13"/>
  <c r="L35" i="13" s="1"/>
  <c r="L9" i="13"/>
  <c r="L8" i="13"/>
  <c r="L7" i="13"/>
  <c r="L5" i="13"/>
  <c r="L4" i="13"/>
  <c r="L3" i="13"/>
  <c r="L2" i="13"/>
  <c r="I161" i="13"/>
  <c r="I80" i="13"/>
  <c r="C17" i="14"/>
  <c r="N6" i="13"/>
  <c r="I268" i="13"/>
  <c r="S268" i="13"/>
  <c r="R268" i="13"/>
  <c r="Q268" i="13"/>
  <c r="P268" i="13"/>
  <c r="O268" i="13"/>
  <c r="N268" i="13"/>
  <c r="M268" i="13"/>
  <c r="D268" i="13"/>
  <c r="C268" i="13"/>
  <c r="S267" i="13"/>
  <c r="R267" i="13"/>
  <c r="Q267" i="13"/>
  <c r="P267" i="13"/>
  <c r="O267" i="13"/>
  <c r="N267" i="13"/>
  <c r="M267" i="13"/>
  <c r="E267" i="13"/>
  <c r="D267" i="13"/>
  <c r="C267" i="13"/>
  <c r="S266" i="13"/>
  <c r="R266" i="13"/>
  <c r="Q266" i="13"/>
  <c r="P266" i="13"/>
  <c r="O266" i="13"/>
  <c r="N266" i="13"/>
  <c r="M266" i="13"/>
  <c r="E266" i="13"/>
  <c r="D266" i="13"/>
  <c r="C266" i="13"/>
  <c r="S265" i="13"/>
  <c r="R265" i="13"/>
  <c r="Q265" i="13"/>
  <c r="P265" i="13"/>
  <c r="O265" i="13"/>
  <c r="N265" i="13"/>
  <c r="M265" i="13"/>
  <c r="E265" i="13"/>
  <c r="D265" i="13"/>
  <c r="C265" i="13"/>
  <c r="S264" i="13"/>
  <c r="R264" i="13"/>
  <c r="Q264" i="13"/>
  <c r="P264" i="13"/>
  <c r="O264" i="13"/>
  <c r="N264" i="13"/>
  <c r="M264" i="13"/>
  <c r="E264" i="13"/>
  <c r="D264" i="13"/>
  <c r="C264" i="13"/>
  <c r="S263" i="13"/>
  <c r="R263" i="13"/>
  <c r="Q263" i="13"/>
  <c r="P263" i="13"/>
  <c r="O263" i="13"/>
  <c r="N263" i="13"/>
  <c r="M263" i="13"/>
  <c r="I263" i="13"/>
  <c r="D263" i="13"/>
  <c r="C263" i="13"/>
  <c r="S262" i="13"/>
  <c r="R262" i="13"/>
  <c r="Q262" i="13"/>
  <c r="P262" i="13"/>
  <c r="O262" i="13"/>
  <c r="N262" i="13"/>
  <c r="M262" i="13"/>
  <c r="I262" i="13"/>
  <c r="E262" i="13"/>
  <c r="D262" i="13"/>
  <c r="C262" i="13"/>
  <c r="D40" i="14"/>
  <c r="B40" i="14"/>
  <c r="D39" i="14"/>
  <c r="B39" i="14"/>
  <c r="H40" i="14"/>
  <c r="H39" i="14"/>
  <c r="H38" i="14"/>
  <c r="D38" i="14"/>
  <c r="B38" i="14"/>
  <c r="I9" i="13"/>
  <c r="W21" i="13" s="1"/>
  <c r="E32" i="14" s="1"/>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s="1"/>
  <c r="H225" i="15" s="1"/>
  <c r="A224" i="15"/>
  <c r="G224" i="15" s="1"/>
  <c r="H224" i="15" s="1"/>
  <c r="A223" i="15"/>
  <c r="G223" i="15" s="1"/>
  <c r="H223" i="15" s="1"/>
  <c r="A222" i="15"/>
  <c r="G222" i="15" s="1"/>
  <c r="A221" i="15"/>
  <c r="G221" i="15" s="1"/>
  <c r="H221" i="15" s="1"/>
  <c r="A220" i="15"/>
  <c r="G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44" i="10"/>
  <c r="A49" i="10"/>
  <c r="S256" i="13" s="1"/>
  <c r="A59" i="10"/>
  <c r="A78" i="10"/>
  <c r="C29" i="10"/>
  <c r="D29" i="10"/>
  <c r="E29" i="10"/>
  <c r="F29" i="10"/>
  <c r="G29" i="10"/>
  <c r="H29" i="10"/>
  <c r="C36" i="10"/>
  <c r="D36" i="10"/>
  <c r="E36" i="10"/>
  <c r="F36" i="10"/>
  <c r="G36" i="10"/>
  <c r="H36" i="10"/>
  <c r="C44" i="10"/>
  <c r="D44" i="10"/>
  <c r="E44" i="10"/>
  <c r="F44" i="10"/>
  <c r="G44" i="10"/>
  <c r="H44" i="10"/>
  <c r="C49" i="10"/>
  <c r="D49" i="10"/>
  <c r="E49" i="10"/>
  <c r="F49" i="10"/>
  <c r="G49" i="10"/>
  <c r="H49" i="10"/>
  <c r="C59" i="10"/>
  <c r="D59" i="10"/>
  <c r="E59" i="10"/>
  <c r="F59" i="10"/>
  <c r="G59" i="10"/>
  <c r="H59" i="10"/>
  <c r="C78" i="10"/>
  <c r="D78" i="10"/>
  <c r="E78" i="10"/>
  <c r="F78" i="10"/>
  <c r="G78" i="10"/>
  <c r="H78" i="10"/>
  <c r="A96" i="10"/>
  <c r="C96" i="10"/>
  <c r="D96" i="10"/>
  <c r="E96" i="10"/>
  <c r="F96" i="10"/>
  <c r="G96" i="10"/>
  <c r="H96" i="10"/>
  <c r="A109" i="10"/>
  <c r="C109" i="10"/>
  <c r="D109" i="10"/>
  <c r="E109" i="10"/>
  <c r="F109" i="10"/>
  <c r="G109" i="10"/>
  <c r="H109" i="10"/>
  <c r="A125" i="10"/>
  <c r="C125" i="10"/>
  <c r="D125" i="10"/>
  <c r="E125" i="10"/>
  <c r="F125" i="10"/>
  <c r="G125" i="10"/>
  <c r="H125" i="10"/>
  <c r="A154" i="10"/>
  <c r="C154" i="10"/>
  <c r="D154" i="10"/>
  <c r="E154" i="10"/>
  <c r="F154" i="10"/>
  <c r="G154" i="10"/>
  <c r="H154" i="10"/>
  <c r="A157" i="10"/>
  <c r="C157" i="10"/>
  <c r="D157" i="10"/>
  <c r="E157" i="10"/>
  <c r="F157" i="10"/>
  <c r="G157" i="10"/>
  <c r="H157" i="10"/>
  <c r="A177" i="10"/>
  <c r="C177" i="10"/>
  <c r="D177" i="10"/>
  <c r="E177" i="10"/>
  <c r="F177" i="10"/>
  <c r="G177" i="10"/>
  <c r="H177" i="10"/>
  <c r="A191" i="10"/>
  <c r="C191" i="10"/>
  <c r="D191" i="10"/>
  <c r="E191" i="10"/>
  <c r="F191" i="10"/>
  <c r="G191" i="10"/>
  <c r="H191" i="10"/>
  <c r="A204" i="10"/>
  <c r="C204" i="10"/>
  <c r="D204" i="10"/>
  <c r="E204" i="10"/>
  <c r="F204" i="10"/>
  <c r="G204" i="10"/>
  <c r="H204" i="10"/>
  <c r="A216" i="10"/>
  <c r="C216" i="10"/>
  <c r="D216" i="10"/>
  <c r="E216" i="10"/>
  <c r="F216" i="10"/>
  <c r="G216" i="10"/>
  <c r="H216" i="10"/>
  <c r="A222" i="10"/>
  <c r="C222" i="10"/>
  <c r="D222" i="10"/>
  <c r="E222" i="10"/>
  <c r="F222" i="10"/>
  <c r="G222" i="10"/>
  <c r="H222" i="10"/>
  <c r="A243" i="10"/>
  <c r="C243" i="10"/>
  <c r="D243" i="10"/>
  <c r="E243" i="10"/>
  <c r="F243" i="10"/>
  <c r="G243" i="10"/>
  <c r="H243" i="10"/>
  <c r="A246" i="10"/>
  <c r="C246" i="10"/>
  <c r="D246" i="10"/>
  <c r="E246" i="10"/>
  <c r="F246" i="10"/>
  <c r="G246" i="10"/>
  <c r="H246" i="10"/>
  <c r="A252" i="10"/>
  <c r="C252" i="10"/>
  <c r="D252" i="10"/>
  <c r="E252" i="10"/>
  <c r="F252" i="10"/>
  <c r="G252" i="10"/>
  <c r="H252" i="10"/>
  <c r="A257" i="10"/>
  <c r="C257" i="10"/>
  <c r="D257" i="10"/>
  <c r="E257" i="10"/>
  <c r="F257" i="10"/>
  <c r="G257" i="10"/>
  <c r="H257" i="10"/>
  <c r="A267" i="10"/>
  <c r="C267" i="10"/>
  <c r="D267" i="10"/>
  <c r="E267" i="10"/>
  <c r="F267" i="10"/>
  <c r="G267" i="10"/>
  <c r="H267" i="10"/>
  <c r="A299" i="10"/>
  <c r="C299" i="10"/>
  <c r="D299" i="10"/>
  <c r="E299" i="10"/>
  <c r="F299" i="10"/>
  <c r="G299" i="10"/>
  <c r="H299" i="10"/>
  <c r="S258" i="13"/>
  <c r="S248" i="13"/>
  <c r="S242" i="13"/>
  <c r="S232" i="13"/>
  <c r="S226" i="13"/>
  <c r="S216" i="13"/>
  <c r="S210" i="13"/>
  <c r="S200" i="13"/>
  <c r="S194" i="13"/>
  <c r="S184" i="13"/>
  <c r="S178" i="13"/>
  <c r="S168" i="13"/>
  <c r="S162" i="13"/>
  <c r="S152" i="13"/>
  <c r="S146" i="13"/>
  <c r="S138" i="13"/>
  <c r="S134" i="13"/>
  <c r="S126" i="13"/>
  <c r="S118" i="13"/>
  <c r="S110" i="13"/>
  <c r="S109" i="13"/>
  <c r="S106" i="13"/>
  <c r="S98" i="13"/>
  <c r="S96" i="13"/>
  <c r="S93" i="13"/>
  <c r="S85" i="13"/>
  <c r="S84" i="13"/>
  <c r="S80" i="13"/>
  <c r="S72" i="13"/>
  <c r="S70" i="13"/>
  <c r="S68" i="13"/>
  <c r="S60" i="13"/>
  <c r="S58" i="13"/>
  <c r="S54" i="13"/>
  <c r="S46" i="13"/>
  <c r="S45" i="13"/>
  <c r="S42" i="13"/>
  <c r="S35" i="13"/>
  <c r="S34" i="13"/>
  <c r="S30" i="13"/>
  <c r="S23" i="13"/>
  <c r="S21" i="13"/>
  <c r="S19" i="13"/>
  <c r="S18" i="13"/>
  <c r="S17" i="13"/>
  <c r="S16" i="13"/>
  <c r="S15" i="13"/>
  <c r="S14" i="13"/>
  <c r="S13" i="13"/>
  <c r="S12" i="13"/>
  <c r="S11" i="13"/>
  <c r="S10" i="13"/>
  <c r="S9" i="13"/>
  <c r="S8" i="13"/>
  <c r="S7" i="13"/>
  <c r="S5" i="13"/>
  <c r="S4" i="13"/>
  <c r="S3" i="13"/>
  <c r="S2" i="13"/>
  <c r="E11" i="13"/>
  <c r="E12" i="13"/>
  <c r="E13" i="13"/>
  <c r="E14" i="13"/>
  <c r="E15" i="13"/>
  <c r="E16" i="13"/>
  <c r="E17"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1" i="13"/>
  <c r="E52" i="13"/>
  <c r="E53" i="13"/>
  <c r="E54" i="13"/>
  <c r="E55" i="13"/>
  <c r="E57" i="13"/>
  <c r="E60" i="13"/>
  <c r="E61" i="13"/>
  <c r="E62" i="13"/>
  <c r="E63" i="13"/>
  <c r="E64" i="13"/>
  <c r="E65" i="13"/>
  <c r="E67" i="13"/>
  <c r="E68" i="13"/>
  <c r="E69" i="13"/>
  <c r="E71" i="13"/>
  <c r="E72" i="13"/>
  <c r="E73" i="13"/>
  <c r="E74" i="13"/>
  <c r="E75" i="13"/>
  <c r="E76" i="13"/>
  <c r="E77" i="13"/>
  <c r="E78" i="13"/>
  <c r="E79" i="13"/>
  <c r="E81" i="13"/>
  <c r="E82" i="13"/>
  <c r="E83" i="13"/>
  <c r="E84" i="13"/>
  <c r="E85" i="13"/>
  <c r="E86" i="13"/>
  <c r="E87" i="13"/>
  <c r="E88" i="13"/>
  <c r="E89" i="13"/>
  <c r="E90" i="13"/>
  <c r="E91" i="13"/>
  <c r="E92" i="13"/>
  <c r="E93" i="13"/>
  <c r="E94" i="13"/>
  <c r="E95" i="13"/>
  <c r="E96" i="13"/>
  <c r="E97" i="13"/>
  <c r="E98" i="13"/>
  <c r="E99" i="13"/>
  <c r="E100" i="13"/>
  <c r="E102" i="13"/>
  <c r="E103" i="13"/>
  <c r="E105" i="13"/>
  <c r="E106" i="13"/>
  <c r="E107" i="13"/>
  <c r="E108" i="13"/>
  <c r="E109" i="13"/>
  <c r="E110" i="13"/>
  <c r="E111" i="13"/>
  <c r="E113" i="13"/>
  <c r="E114" i="13"/>
  <c r="E115" i="13"/>
  <c r="E116" i="13"/>
  <c r="E117" i="13"/>
  <c r="E118" i="13"/>
  <c r="E119" i="13"/>
  <c r="E120" i="13"/>
  <c r="E121" i="13"/>
  <c r="E122" i="13"/>
  <c r="E125" i="13"/>
  <c r="E126" i="13"/>
  <c r="E127" i="13"/>
  <c r="E129" i="13"/>
  <c r="E130" i="13"/>
  <c r="E131" i="13"/>
  <c r="E132" i="13"/>
  <c r="E133" i="13"/>
  <c r="E135" i="13"/>
  <c r="E136" i="13"/>
  <c r="E137" i="13"/>
  <c r="E138" i="13"/>
  <c r="E139" i="13"/>
  <c r="E140" i="13"/>
  <c r="E141" i="13"/>
  <c r="E142" i="13"/>
  <c r="E144" i="13"/>
  <c r="E145" i="13"/>
  <c r="E146" i="13"/>
  <c r="E149" i="13"/>
  <c r="E150" i="13"/>
  <c r="E151" i="13"/>
  <c r="E152" i="13"/>
  <c r="E153" i="13"/>
  <c r="E154" i="13"/>
  <c r="E155" i="13"/>
  <c r="E156" i="13"/>
  <c r="E157" i="13"/>
  <c r="E158" i="13"/>
  <c r="E159" i="13"/>
  <c r="E160"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2" i="13"/>
  <c r="E243" i="13"/>
  <c r="E244" i="13"/>
  <c r="E245" i="13"/>
  <c r="E246" i="13"/>
  <c r="E247" i="13"/>
  <c r="E248" i="13"/>
  <c r="E249" i="13"/>
  <c r="E250" i="13"/>
  <c r="E251" i="13"/>
  <c r="E252" i="13"/>
  <c r="E253" i="13"/>
  <c r="E254" i="13"/>
  <c r="E255" i="13"/>
  <c r="E256" i="13"/>
  <c r="E257" i="13"/>
  <c r="E258" i="13"/>
  <c r="E259" i="13"/>
  <c r="E260" i="13"/>
  <c r="E261" i="13"/>
  <c r="E10" i="13"/>
  <c r="C33" i="13"/>
  <c r="B4" i="15"/>
  <c r="I2" i="13"/>
  <c r="U15" i="13" s="1"/>
  <c r="I3" i="13"/>
  <c r="X16" i="13" s="1"/>
  <c r="D27" i="14" s="1"/>
  <c r="I4" i="13"/>
  <c r="W17" i="13" s="1"/>
  <c r="E28" i="14" s="1"/>
  <c r="I5" i="13"/>
  <c r="X18" i="13" s="1"/>
  <c r="D29" i="14" s="1"/>
  <c r="I7" i="13"/>
  <c r="U19" i="13" s="1"/>
  <c r="I8" i="13"/>
  <c r="W20" i="13" s="1"/>
  <c r="E31" i="14" s="1"/>
  <c r="I131" i="13"/>
  <c r="C211" i="13"/>
  <c r="D211" i="13"/>
  <c r="O211" i="13"/>
  <c r="P211" i="13"/>
  <c r="R211" i="13"/>
  <c r="C161" i="13"/>
  <c r="D161" i="13"/>
  <c r="O161" i="13"/>
  <c r="P161" i="13"/>
  <c r="R161" i="13"/>
  <c r="C69" i="13"/>
  <c r="D69" i="13"/>
  <c r="O69" i="13"/>
  <c r="P69" i="13"/>
  <c r="R69" i="13"/>
  <c r="C26" i="13"/>
  <c r="D26" i="13"/>
  <c r="N26" i="13"/>
  <c r="O26" i="13"/>
  <c r="P26" i="13"/>
  <c r="R26" i="13"/>
  <c r="I255" i="13"/>
  <c r="O255" i="13"/>
  <c r="P255" i="13"/>
  <c r="Q255" i="13"/>
  <c r="D256" i="13"/>
  <c r="M256" i="13"/>
  <c r="N256" i="13"/>
  <c r="P256" i="13"/>
  <c r="Q256" i="13"/>
  <c r="R256" i="13"/>
  <c r="C257" i="13"/>
  <c r="M257" i="13"/>
  <c r="N257" i="13"/>
  <c r="O257" i="13"/>
  <c r="Q257" i="13"/>
  <c r="R257" i="13"/>
  <c r="R241" i="13"/>
  <c r="P241" i="13"/>
  <c r="O241" i="13"/>
  <c r="N241" i="13"/>
  <c r="D241" i="13"/>
  <c r="C16" i="13"/>
  <c r="D16" i="13"/>
  <c r="C17" i="13"/>
  <c r="D17" i="13"/>
  <c r="C18" i="13"/>
  <c r="D18" i="13"/>
  <c r="I18" i="13"/>
  <c r="M18" i="13"/>
  <c r="N18" i="13"/>
  <c r="O18" i="13"/>
  <c r="P18" i="13"/>
  <c r="Q18" i="13"/>
  <c r="R18" i="13"/>
  <c r="I17" i="13"/>
  <c r="M17" i="13"/>
  <c r="N17" i="13"/>
  <c r="O17" i="13"/>
  <c r="P17" i="13"/>
  <c r="Q17" i="13"/>
  <c r="R17" i="13"/>
  <c r="C19" i="13"/>
  <c r="D19" i="13"/>
  <c r="I19" i="13"/>
  <c r="M19" i="13"/>
  <c r="N19" i="13"/>
  <c r="O19" i="13"/>
  <c r="P19" i="13"/>
  <c r="Q19" i="13"/>
  <c r="R19" i="13"/>
  <c r="M20" i="13"/>
  <c r="C20" i="13"/>
  <c r="D20" i="13"/>
  <c r="N20" i="13"/>
  <c r="O20" i="13"/>
  <c r="Q20" i="13"/>
  <c r="R20" i="13"/>
  <c r="I16" i="13"/>
  <c r="M16" i="13"/>
  <c r="N16" i="13"/>
  <c r="O16" i="13"/>
  <c r="P16" i="13"/>
  <c r="Q16" i="13"/>
  <c r="R16" i="13"/>
  <c r="I37" i="13"/>
  <c r="I79" i="13"/>
  <c r="D49" i="15"/>
  <c r="I261" i="13"/>
  <c r="M261" i="13"/>
  <c r="N261" i="13"/>
  <c r="P261" i="13"/>
  <c r="Q261" i="13"/>
  <c r="R261" i="13"/>
  <c r="D261" i="13"/>
  <c r="C217" i="13"/>
  <c r="D217" i="13"/>
  <c r="I217" i="13"/>
  <c r="N217" i="13"/>
  <c r="O217" i="13"/>
  <c r="P217" i="13"/>
  <c r="Q217" i="13"/>
  <c r="R217" i="13"/>
  <c r="C214" i="13"/>
  <c r="D214" i="13"/>
  <c r="N214" i="13"/>
  <c r="O214" i="13"/>
  <c r="P214" i="13"/>
  <c r="Q214" i="13"/>
  <c r="R214" i="13"/>
  <c r="C215" i="13"/>
  <c r="D215" i="13"/>
  <c r="I215" i="13"/>
  <c r="M215" i="13"/>
  <c r="N215" i="13"/>
  <c r="O215" i="13"/>
  <c r="P215" i="13"/>
  <c r="Q215" i="13"/>
  <c r="R215" i="13"/>
  <c r="C209" i="13"/>
  <c r="D209" i="13"/>
  <c r="M209" i="13"/>
  <c r="N209" i="13"/>
  <c r="O209" i="13"/>
  <c r="P209" i="13"/>
  <c r="Q209" i="13"/>
  <c r="R209" i="13"/>
  <c r="C201" i="13"/>
  <c r="D201" i="13"/>
  <c r="I201" i="13"/>
  <c r="M201" i="13"/>
  <c r="N201" i="13"/>
  <c r="O201" i="13"/>
  <c r="P201" i="13"/>
  <c r="Q201" i="13"/>
  <c r="R201" i="13"/>
  <c r="M197" i="13"/>
  <c r="N197" i="13"/>
  <c r="O197" i="13"/>
  <c r="P197" i="13"/>
  <c r="Q197" i="13"/>
  <c r="R197" i="13"/>
  <c r="C197" i="13"/>
  <c r="D197" i="13"/>
  <c r="C185" i="13"/>
  <c r="D185" i="13"/>
  <c r="P179" i="13"/>
  <c r="Q179" i="13"/>
  <c r="R179" i="13"/>
  <c r="O179" i="13"/>
  <c r="N179" i="13"/>
  <c r="M179" i="13"/>
  <c r="D179" i="13"/>
  <c r="C179" i="13"/>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1" i="13"/>
  <c r="N21" i="13"/>
  <c r="O21" i="13"/>
  <c r="P21" i="13"/>
  <c r="Q21" i="13"/>
  <c r="R21" i="13"/>
  <c r="M22" i="13"/>
  <c r="N22" i="13"/>
  <c r="O22" i="13"/>
  <c r="P22" i="13"/>
  <c r="Q22" i="13"/>
  <c r="R22" i="13"/>
  <c r="M23" i="13"/>
  <c r="N23" i="13"/>
  <c r="O23" i="13"/>
  <c r="P23" i="13"/>
  <c r="Q23" i="13"/>
  <c r="R23" i="13"/>
  <c r="M24" i="13"/>
  <c r="N24" i="13"/>
  <c r="O24" i="13"/>
  <c r="P24" i="13"/>
  <c r="Q24" i="13"/>
  <c r="R24" i="13"/>
  <c r="M25" i="13"/>
  <c r="N25" i="13"/>
  <c r="O25" i="13"/>
  <c r="P25" i="13"/>
  <c r="Q25" i="13"/>
  <c r="R25" i="13"/>
  <c r="M27" i="13"/>
  <c r="N27" i="13"/>
  <c r="O27" i="13"/>
  <c r="P27" i="13"/>
  <c r="Q27" i="13"/>
  <c r="R27" i="13"/>
  <c r="M29" i="13"/>
  <c r="N29" i="13"/>
  <c r="O29" i="13"/>
  <c r="P29" i="13"/>
  <c r="Q29" i="13"/>
  <c r="R29" i="13"/>
  <c r="M30" i="13"/>
  <c r="N30" i="13"/>
  <c r="O30" i="13"/>
  <c r="P30" i="13"/>
  <c r="Q30" i="13"/>
  <c r="R30" i="13"/>
  <c r="M31" i="13"/>
  <c r="N31" i="13"/>
  <c r="O31" i="13"/>
  <c r="P31" i="13"/>
  <c r="Q31" i="13"/>
  <c r="R31" i="13"/>
  <c r="M32" i="13"/>
  <c r="N32" i="13"/>
  <c r="O32" i="13"/>
  <c r="P32" i="13"/>
  <c r="Q32" i="13"/>
  <c r="R32" i="13"/>
  <c r="M33" i="13"/>
  <c r="N33" i="13"/>
  <c r="O33" i="13"/>
  <c r="P33" i="13"/>
  <c r="Q33" i="13"/>
  <c r="R33" i="13"/>
  <c r="M34" i="13"/>
  <c r="N34" i="13"/>
  <c r="O34" i="13"/>
  <c r="P34" i="13"/>
  <c r="Q34" i="13"/>
  <c r="R34" i="13"/>
  <c r="M35" i="13"/>
  <c r="N35" i="13"/>
  <c r="O35" i="13"/>
  <c r="P35" i="13"/>
  <c r="Q35" i="13"/>
  <c r="R35" i="13"/>
  <c r="M36" i="13"/>
  <c r="N36" i="13"/>
  <c r="O36" i="13"/>
  <c r="P36" i="13"/>
  <c r="Q36" i="13"/>
  <c r="R36" i="13"/>
  <c r="M37" i="13"/>
  <c r="N37" i="13"/>
  <c r="O37" i="13"/>
  <c r="P37" i="13"/>
  <c r="Q37" i="13"/>
  <c r="R37" i="13"/>
  <c r="M38" i="13"/>
  <c r="N38" i="13"/>
  <c r="O38" i="13"/>
  <c r="P38" i="13"/>
  <c r="Q38" i="13"/>
  <c r="R38" i="13"/>
  <c r="M39" i="13"/>
  <c r="N39" i="13"/>
  <c r="O39" i="13"/>
  <c r="P39" i="13"/>
  <c r="Q39" i="13"/>
  <c r="R39" i="13"/>
  <c r="M40" i="13"/>
  <c r="N40" i="13"/>
  <c r="O40" i="13"/>
  <c r="P40" i="13"/>
  <c r="Q40" i="13"/>
  <c r="R40" i="13"/>
  <c r="M41" i="13"/>
  <c r="N41" i="13"/>
  <c r="O41" i="13"/>
  <c r="P41" i="13"/>
  <c r="Q41" i="13"/>
  <c r="R41" i="13"/>
  <c r="M42" i="13"/>
  <c r="N42" i="13"/>
  <c r="O42" i="13"/>
  <c r="P42" i="13"/>
  <c r="Q42" i="13"/>
  <c r="R42" i="13"/>
  <c r="M43" i="13"/>
  <c r="N43" i="13"/>
  <c r="O43" i="13"/>
  <c r="P43" i="13"/>
  <c r="Q43" i="13"/>
  <c r="R43" i="13"/>
  <c r="M44" i="13"/>
  <c r="N44" i="13"/>
  <c r="O44" i="13"/>
  <c r="P44" i="13"/>
  <c r="Q44" i="13"/>
  <c r="R44" i="13"/>
  <c r="M45" i="13"/>
  <c r="N45" i="13"/>
  <c r="O45" i="13"/>
  <c r="P45" i="13"/>
  <c r="Q45" i="13"/>
  <c r="R45" i="13"/>
  <c r="M46" i="13"/>
  <c r="N46" i="13"/>
  <c r="O46" i="13"/>
  <c r="P46" i="13"/>
  <c r="Q46" i="13"/>
  <c r="R46" i="13"/>
  <c r="M47" i="13"/>
  <c r="N47" i="13"/>
  <c r="O47" i="13"/>
  <c r="P47" i="13"/>
  <c r="Q47" i="13"/>
  <c r="R47" i="13"/>
  <c r="M48" i="13"/>
  <c r="N48" i="13"/>
  <c r="O48" i="13"/>
  <c r="P48" i="13"/>
  <c r="Q48" i="13"/>
  <c r="R48" i="13"/>
  <c r="M49" i="13"/>
  <c r="N49" i="13"/>
  <c r="O49" i="13"/>
  <c r="P49" i="13"/>
  <c r="Q49" i="13"/>
  <c r="R49" i="13"/>
  <c r="M50" i="13"/>
  <c r="N50" i="13"/>
  <c r="O50" i="13"/>
  <c r="P50" i="13"/>
  <c r="Q50" i="13"/>
  <c r="R50" i="13"/>
  <c r="M51" i="13"/>
  <c r="N51" i="13"/>
  <c r="O51" i="13"/>
  <c r="P51" i="13"/>
  <c r="Q51" i="13"/>
  <c r="R51" i="13"/>
  <c r="M52" i="13"/>
  <c r="N52" i="13"/>
  <c r="O52" i="13"/>
  <c r="P52" i="13"/>
  <c r="Q52" i="13"/>
  <c r="R52" i="13"/>
  <c r="M53" i="13"/>
  <c r="N53" i="13"/>
  <c r="O53" i="13"/>
  <c r="P53" i="13"/>
  <c r="Q53" i="13"/>
  <c r="R53" i="13"/>
  <c r="M54" i="13"/>
  <c r="N54" i="13"/>
  <c r="O54" i="13"/>
  <c r="P54" i="13"/>
  <c r="Q54" i="13"/>
  <c r="R54" i="13"/>
  <c r="M55" i="13"/>
  <c r="N55" i="13"/>
  <c r="O55" i="13"/>
  <c r="P55" i="13"/>
  <c r="Q55" i="13"/>
  <c r="R55" i="13"/>
  <c r="M56" i="13"/>
  <c r="N56" i="13"/>
  <c r="O56" i="13"/>
  <c r="P56" i="13"/>
  <c r="Q56" i="13"/>
  <c r="R56" i="13"/>
  <c r="M57" i="13"/>
  <c r="N57" i="13"/>
  <c r="O57" i="13"/>
  <c r="P57" i="13"/>
  <c r="Q57" i="13"/>
  <c r="R57" i="13"/>
  <c r="M58" i="13"/>
  <c r="N58" i="13"/>
  <c r="O58" i="13"/>
  <c r="P58" i="13"/>
  <c r="Q58" i="13"/>
  <c r="R58" i="13"/>
  <c r="M59" i="13"/>
  <c r="N59" i="13"/>
  <c r="O59" i="13"/>
  <c r="P59" i="13"/>
  <c r="Q59" i="13"/>
  <c r="R59" i="13"/>
  <c r="M60" i="13"/>
  <c r="N60" i="13"/>
  <c r="O60" i="13"/>
  <c r="P60" i="13"/>
  <c r="Q60" i="13"/>
  <c r="R60" i="13"/>
  <c r="M61" i="13"/>
  <c r="N61" i="13"/>
  <c r="O61" i="13"/>
  <c r="P61" i="13"/>
  <c r="Q61" i="13"/>
  <c r="R61" i="13"/>
  <c r="M62" i="13"/>
  <c r="N62" i="13"/>
  <c r="O62" i="13"/>
  <c r="P62" i="13"/>
  <c r="Q62" i="13"/>
  <c r="R62" i="13"/>
  <c r="M63" i="13"/>
  <c r="N63" i="13"/>
  <c r="O63" i="13"/>
  <c r="P63" i="13"/>
  <c r="Q63" i="13"/>
  <c r="R63" i="13"/>
  <c r="M64" i="13"/>
  <c r="N64" i="13"/>
  <c r="O64" i="13"/>
  <c r="P64" i="13"/>
  <c r="Q64" i="13"/>
  <c r="R64" i="13"/>
  <c r="M65" i="13"/>
  <c r="N65" i="13"/>
  <c r="O65" i="13"/>
  <c r="P65" i="13"/>
  <c r="Q65" i="13"/>
  <c r="R65" i="13"/>
  <c r="M66" i="13"/>
  <c r="N66" i="13"/>
  <c r="O66" i="13"/>
  <c r="P66" i="13"/>
  <c r="Q66" i="13"/>
  <c r="R66" i="13"/>
  <c r="M67" i="13"/>
  <c r="N67" i="13"/>
  <c r="O67" i="13"/>
  <c r="P67" i="13"/>
  <c r="Q67" i="13"/>
  <c r="R67" i="13"/>
  <c r="M68" i="13"/>
  <c r="N68" i="13"/>
  <c r="O68" i="13"/>
  <c r="P68" i="13"/>
  <c r="Q68" i="13"/>
  <c r="R68" i="13"/>
  <c r="M70" i="13"/>
  <c r="N70" i="13"/>
  <c r="O70" i="13"/>
  <c r="P70" i="13"/>
  <c r="Q70" i="13"/>
  <c r="R70" i="13"/>
  <c r="M71" i="13"/>
  <c r="N71" i="13"/>
  <c r="O71" i="13"/>
  <c r="P71" i="13"/>
  <c r="Q71" i="13"/>
  <c r="R71" i="13"/>
  <c r="M72" i="13"/>
  <c r="N72" i="13"/>
  <c r="O72" i="13"/>
  <c r="P72" i="13"/>
  <c r="Q72" i="13"/>
  <c r="R72" i="13"/>
  <c r="M73" i="13"/>
  <c r="N73" i="13"/>
  <c r="O73" i="13"/>
  <c r="P73" i="13"/>
  <c r="Q73" i="13"/>
  <c r="R73" i="13"/>
  <c r="M74" i="13"/>
  <c r="N74" i="13"/>
  <c r="O74" i="13"/>
  <c r="P74" i="13"/>
  <c r="Q74" i="13"/>
  <c r="R74" i="13"/>
  <c r="M75" i="13"/>
  <c r="N75" i="13"/>
  <c r="O75" i="13"/>
  <c r="P75" i="13"/>
  <c r="Q75" i="13"/>
  <c r="R75" i="13"/>
  <c r="M76" i="13"/>
  <c r="N76" i="13"/>
  <c r="O76" i="13"/>
  <c r="P76" i="13"/>
  <c r="Q76" i="13"/>
  <c r="R76" i="13"/>
  <c r="M77" i="13"/>
  <c r="N77" i="13"/>
  <c r="O77" i="13"/>
  <c r="P77" i="13"/>
  <c r="Q77" i="13"/>
  <c r="R77" i="13"/>
  <c r="M78" i="13"/>
  <c r="N78" i="13"/>
  <c r="O78" i="13"/>
  <c r="P78" i="13"/>
  <c r="Q78" i="13"/>
  <c r="R78" i="13"/>
  <c r="M79" i="13"/>
  <c r="N79" i="13"/>
  <c r="O79" i="13"/>
  <c r="P79" i="13"/>
  <c r="Q79" i="13"/>
  <c r="R79" i="13"/>
  <c r="M80" i="13"/>
  <c r="N80" i="13"/>
  <c r="O80" i="13"/>
  <c r="P80" i="13"/>
  <c r="Q80" i="13"/>
  <c r="R80" i="13"/>
  <c r="M81" i="13"/>
  <c r="N81" i="13"/>
  <c r="O81" i="13"/>
  <c r="P81" i="13"/>
  <c r="Q81" i="13"/>
  <c r="R81" i="13"/>
  <c r="M82" i="13"/>
  <c r="N82" i="13"/>
  <c r="O82" i="13"/>
  <c r="P82" i="13"/>
  <c r="Q82" i="13"/>
  <c r="R82" i="13"/>
  <c r="M83" i="13"/>
  <c r="N83" i="13"/>
  <c r="O83" i="13"/>
  <c r="P83" i="13"/>
  <c r="Q83" i="13"/>
  <c r="R83" i="13"/>
  <c r="M84" i="13"/>
  <c r="N84" i="13"/>
  <c r="O84" i="13"/>
  <c r="P84" i="13"/>
  <c r="Q84" i="13"/>
  <c r="R84" i="13"/>
  <c r="M85" i="13"/>
  <c r="N85" i="13"/>
  <c r="O85" i="13"/>
  <c r="P85" i="13"/>
  <c r="Q85" i="13"/>
  <c r="R85" i="13"/>
  <c r="M86" i="13"/>
  <c r="N86" i="13"/>
  <c r="O86" i="13"/>
  <c r="P86" i="13"/>
  <c r="Q86" i="13"/>
  <c r="R86" i="13"/>
  <c r="M87" i="13"/>
  <c r="N87" i="13"/>
  <c r="O87" i="13"/>
  <c r="P87" i="13"/>
  <c r="Q87" i="13"/>
  <c r="R87" i="13"/>
  <c r="M88" i="13"/>
  <c r="N88" i="13"/>
  <c r="O88" i="13"/>
  <c r="P88" i="13"/>
  <c r="Q88" i="13"/>
  <c r="R88" i="13"/>
  <c r="M89" i="13"/>
  <c r="N89" i="13"/>
  <c r="O89" i="13"/>
  <c r="P89" i="13"/>
  <c r="Q89" i="13"/>
  <c r="R89" i="13"/>
  <c r="M90" i="13"/>
  <c r="N90" i="13"/>
  <c r="O90" i="13"/>
  <c r="P90" i="13"/>
  <c r="Q90" i="13"/>
  <c r="R90" i="13"/>
  <c r="M91" i="13"/>
  <c r="N91" i="13"/>
  <c r="O91" i="13"/>
  <c r="P91" i="13"/>
  <c r="Q91" i="13"/>
  <c r="R91" i="13"/>
  <c r="M92" i="13"/>
  <c r="N92" i="13"/>
  <c r="O92" i="13"/>
  <c r="P92" i="13"/>
  <c r="Q92" i="13"/>
  <c r="R92" i="13"/>
  <c r="M93" i="13"/>
  <c r="N93" i="13"/>
  <c r="O93" i="13"/>
  <c r="P93" i="13"/>
  <c r="Q93" i="13"/>
  <c r="R93" i="13"/>
  <c r="M94" i="13"/>
  <c r="N94" i="13"/>
  <c r="O94" i="13"/>
  <c r="P94" i="13"/>
  <c r="Q94" i="13"/>
  <c r="R94" i="13"/>
  <c r="M95" i="13"/>
  <c r="N95" i="13"/>
  <c r="O95" i="13"/>
  <c r="P95" i="13"/>
  <c r="Q95" i="13"/>
  <c r="R95" i="13"/>
  <c r="M96" i="13"/>
  <c r="N96" i="13"/>
  <c r="O96" i="13"/>
  <c r="P96" i="13"/>
  <c r="Q96" i="13"/>
  <c r="R96" i="13"/>
  <c r="M97" i="13"/>
  <c r="N97" i="13"/>
  <c r="O97" i="13"/>
  <c r="P97" i="13"/>
  <c r="Q97" i="13"/>
  <c r="R97" i="13"/>
  <c r="M98" i="13"/>
  <c r="N98" i="13"/>
  <c r="O98" i="13"/>
  <c r="P98" i="13"/>
  <c r="Q98" i="13"/>
  <c r="R98" i="13"/>
  <c r="M99" i="13"/>
  <c r="N99" i="13"/>
  <c r="O99" i="13"/>
  <c r="P99" i="13"/>
  <c r="Q99" i="13"/>
  <c r="R99" i="13"/>
  <c r="M100" i="13"/>
  <c r="N100" i="13"/>
  <c r="O100" i="13"/>
  <c r="P100" i="13"/>
  <c r="Q100" i="13"/>
  <c r="R100" i="13"/>
  <c r="M101" i="13"/>
  <c r="N101" i="13"/>
  <c r="O101" i="13"/>
  <c r="P101" i="13"/>
  <c r="Q101" i="13"/>
  <c r="R101" i="13"/>
  <c r="M102" i="13"/>
  <c r="N102" i="13"/>
  <c r="O102" i="13"/>
  <c r="P102" i="13"/>
  <c r="Q102" i="13"/>
  <c r="R102" i="13"/>
  <c r="M103" i="13"/>
  <c r="N103" i="13"/>
  <c r="O103" i="13"/>
  <c r="P103" i="13"/>
  <c r="Q103" i="13"/>
  <c r="R103" i="13"/>
  <c r="M104" i="13"/>
  <c r="N104" i="13"/>
  <c r="O104" i="13"/>
  <c r="P104" i="13"/>
  <c r="Q104" i="13"/>
  <c r="R104" i="13"/>
  <c r="M105" i="13"/>
  <c r="N105" i="13"/>
  <c r="O105" i="13"/>
  <c r="P105" i="13"/>
  <c r="Q105" i="13"/>
  <c r="R105" i="13"/>
  <c r="M106" i="13"/>
  <c r="N106" i="13"/>
  <c r="O106" i="13"/>
  <c r="P106" i="13"/>
  <c r="Q106" i="13"/>
  <c r="R106" i="13"/>
  <c r="M107" i="13"/>
  <c r="N107" i="13"/>
  <c r="O107" i="13"/>
  <c r="P107" i="13"/>
  <c r="Q107" i="13"/>
  <c r="R107" i="13"/>
  <c r="M108" i="13"/>
  <c r="N108" i="13"/>
  <c r="O108" i="13"/>
  <c r="P108" i="13"/>
  <c r="Q108" i="13"/>
  <c r="R108" i="13"/>
  <c r="M109" i="13"/>
  <c r="N109" i="13"/>
  <c r="O109" i="13"/>
  <c r="P109" i="13"/>
  <c r="Q109" i="13"/>
  <c r="R109" i="13"/>
  <c r="M110" i="13"/>
  <c r="N110" i="13"/>
  <c r="O110" i="13"/>
  <c r="P110" i="13"/>
  <c r="Q110" i="13"/>
  <c r="R110" i="13"/>
  <c r="M111" i="13"/>
  <c r="N111" i="13"/>
  <c r="O111" i="13"/>
  <c r="P111" i="13"/>
  <c r="Q111" i="13"/>
  <c r="R111" i="13"/>
  <c r="M112" i="13"/>
  <c r="N112" i="13"/>
  <c r="O112" i="13"/>
  <c r="P112" i="13"/>
  <c r="Q112" i="13"/>
  <c r="R112" i="13"/>
  <c r="M113" i="13"/>
  <c r="N113" i="13"/>
  <c r="O113" i="13"/>
  <c r="P113" i="13"/>
  <c r="Q113" i="13"/>
  <c r="R113" i="13"/>
  <c r="M114" i="13"/>
  <c r="N114" i="13"/>
  <c r="O114" i="13"/>
  <c r="P114" i="13"/>
  <c r="Q114" i="13"/>
  <c r="R114" i="13"/>
  <c r="M115" i="13"/>
  <c r="N115" i="13"/>
  <c r="O115" i="13"/>
  <c r="P115" i="13"/>
  <c r="Q115" i="13"/>
  <c r="R115" i="13"/>
  <c r="M116" i="13"/>
  <c r="N116" i="13"/>
  <c r="O116" i="13"/>
  <c r="P116" i="13"/>
  <c r="Q116" i="13"/>
  <c r="R116" i="13"/>
  <c r="M117" i="13"/>
  <c r="N117" i="13"/>
  <c r="O117" i="13"/>
  <c r="P117" i="13"/>
  <c r="Q117" i="13"/>
  <c r="R117" i="13"/>
  <c r="M118" i="13"/>
  <c r="N118" i="13"/>
  <c r="O118" i="13"/>
  <c r="P118" i="13"/>
  <c r="Q118" i="13"/>
  <c r="R118" i="13"/>
  <c r="M119" i="13"/>
  <c r="N119" i="13"/>
  <c r="O119" i="13"/>
  <c r="P119" i="13"/>
  <c r="Q119" i="13"/>
  <c r="R119" i="13"/>
  <c r="M120" i="13"/>
  <c r="N120" i="13"/>
  <c r="O120" i="13"/>
  <c r="P120" i="13"/>
  <c r="Q120" i="13"/>
  <c r="R120" i="13"/>
  <c r="M121" i="13"/>
  <c r="N121" i="13"/>
  <c r="O121" i="13"/>
  <c r="P121" i="13"/>
  <c r="Q121" i="13"/>
  <c r="R121" i="13"/>
  <c r="M122" i="13"/>
  <c r="N122" i="13"/>
  <c r="O122" i="13"/>
  <c r="P122" i="13"/>
  <c r="Q122" i="13"/>
  <c r="R122" i="13"/>
  <c r="P124" i="13"/>
  <c r="M125" i="13"/>
  <c r="N125" i="13"/>
  <c r="O125" i="13"/>
  <c r="P125" i="13"/>
  <c r="Q125" i="13"/>
  <c r="R125" i="13"/>
  <c r="M126" i="13"/>
  <c r="N126" i="13"/>
  <c r="O126" i="13"/>
  <c r="P126" i="13"/>
  <c r="Q126" i="13"/>
  <c r="R126" i="13"/>
  <c r="M127" i="13"/>
  <c r="N127" i="13"/>
  <c r="O127" i="13"/>
  <c r="P127" i="13"/>
  <c r="Q127" i="13"/>
  <c r="R127" i="13"/>
  <c r="M128" i="13"/>
  <c r="N128" i="13"/>
  <c r="O128" i="13"/>
  <c r="P128" i="13"/>
  <c r="Q128" i="13"/>
  <c r="R128" i="13"/>
  <c r="M129" i="13"/>
  <c r="N129" i="13"/>
  <c r="O129" i="13"/>
  <c r="P129" i="13"/>
  <c r="Q129" i="13"/>
  <c r="R129" i="13"/>
  <c r="M130" i="13"/>
  <c r="N130" i="13"/>
  <c r="O130" i="13"/>
  <c r="P130" i="13"/>
  <c r="Q130" i="13"/>
  <c r="R130" i="13"/>
  <c r="M131" i="13"/>
  <c r="N131" i="13"/>
  <c r="O131" i="13"/>
  <c r="P131" i="13"/>
  <c r="Q131" i="13"/>
  <c r="R131" i="13"/>
  <c r="M132" i="13"/>
  <c r="N132" i="13"/>
  <c r="O132" i="13"/>
  <c r="P132" i="13"/>
  <c r="Q132" i="13"/>
  <c r="R132" i="13"/>
  <c r="M133" i="13"/>
  <c r="N133" i="13"/>
  <c r="O133" i="13"/>
  <c r="P133" i="13"/>
  <c r="Q133" i="13"/>
  <c r="R133" i="13"/>
  <c r="M134" i="13"/>
  <c r="N134" i="13"/>
  <c r="O134" i="13"/>
  <c r="P134" i="13"/>
  <c r="Q134" i="13"/>
  <c r="R134" i="13"/>
  <c r="M135" i="13"/>
  <c r="N135" i="13"/>
  <c r="O135" i="13"/>
  <c r="P135" i="13"/>
  <c r="Q135" i="13"/>
  <c r="R135" i="13"/>
  <c r="M136" i="13"/>
  <c r="N136" i="13"/>
  <c r="O136" i="13"/>
  <c r="P136" i="13"/>
  <c r="Q136" i="13"/>
  <c r="R136" i="13"/>
  <c r="M137" i="13"/>
  <c r="N137" i="13"/>
  <c r="O137" i="13"/>
  <c r="P137" i="13"/>
  <c r="Q137" i="13"/>
  <c r="R137" i="13"/>
  <c r="M138" i="13"/>
  <c r="N138" i="13"/>
  <c r="O138" i="13"/>
  <c r="P138" i="13"/>
  <c r="Q138" i="13"/>
  <c r="R138" i="13"/>
  <c r="M139" i="13"/>
  <c r="N139" i="13"/>
  <c r="O139" i="13"/>
  <c r="P139" i="13"/>
  <c r="Q139" i="13"/>
  <c r="R139" i="13"/>
  <c r="M140" i="13"/>
  <c r="N140" i="13"/>
  <c r="O140" i="13"/>
  <c r="P140" i="13"/>
  <c r="Q140" i="13"/>
  <c r="R140" i="13"/>
  <c r="M141" i="13"/>
  <c r="N141" i="13"/>
  <c r="O141" i="13"/>
  <c r="P141" i="13"/>
  <c r="Q141" i="13"/>
  <c r="R141" i="13"/>
  <c r="M142" i="13"/>
  <c r="N142" i="13"/>
  <c r="O142" i="13"/>
  <c r="P142" i="13"/>
  <c r="Q142" i="13"/>
  <c r="R142" i="13"/>
  <c r="M143" i="13"/>
  <c r="N143" i="13"/>
  <c r="O143" i="13"/>
  <c r="P143" i="13"/>
  <c r="Q143" i="13"/>
  <c r="R143" i="13"/>
  <c r="M144" i="13"/>
  <c r="N144" i="13"/>
  <c r="O144" i="13"/>
  <c r="P144" i="13"/>
  <c r="Q144" i="13"/>
  <c r="R144" i="13"/>
  <c r="M145" i="13"/>
  <c r="N145" i="13"/>
  <c r="O145" i="13"/>
  <c r="P145" i="13"/>
  <c r="Q145" i="13"/>
  <c r="R145" i="13"/>
  <c r="M146" i="13"/>
  <c r="N146" i="13"/>
  <c r="O146" i="13"/>
  <c r="P146" i="13"/>
  <c r="Q146" i="13"/>
  <c r="R146" i="13"/>
  <c r="M147" i="13"/>
  <c r="N147" i="13"/>
  <c r="O147" i="13"/>
  <c r="P147" i="13"/>
  <c r="Q147" i="13"/>
  <c r="R147" i="13"/>
  <c r="M148" i="13"/>
  <c r="N148" i="13"/>
  <c r="O148" i="13"/>
  <c r="P148" i="13"/>
  <c r="Q148" i="13"/>
  <c r="R148" i="13"/>
  <c r="M149" i="13"/>
  <c r="N149" i="13"/>
  <c r="O149" i="13"/>
  <c r="P149" i="13"/>
  <c r="Q149" i="13"/>
  <c r="R149" i="13"/>
  <c r="M150" i="13"/>
  <c r="N150" i="13"/>
  <c r="O150" i="13"/>
  <c r="P150" i="13"/>
  <c r="Q150" i="13"/>
  <c r="R150" i="13"/>
  <c r="M151" i="13"/>
  <c r="N151" i="13"/>
  <c r="O151" i="13"/>
  <c r="P151" i="13"/>
  <c r="Q151" i="13"/>
  <c r="R151" i="13"/>
  <c r="M152" i="13"/>
  <c r="N152" i="13"/>
  <c r="O152" i="13"/>
  <c r="P152" i="13"/>
  <c r="Q152" i="13"/>
  <c r="R152" i="13"/>
  <c r="M153" i="13"/>
  <c r="N153" i="13"/>
  <c r="O153" i="13"/>
  <c r="P153" i="13"/>
  <c r="Q153" i="13"/>
  <c r="R153" i="13"/>
  <c r="M154" i="13"/>
  <c r="N154" i="13"/>
  <c r="O154" i="13"/>
  <c r="P154" i="13"/>
  <c r="Q154" i="13"/>
  <c r="R154" i="13"/>
  <c r="M155" i="13"/>
  <c r="N155" i="13"/>
  <c r="O155" i="13"/>
  <c r="P155" i="13"/>
  <c r="Q155" i="13"/>
  <c r="R155" i="13"/>
  <c r="M156" i="13"/>
  <c r="N156" i="13"/>
  <c r="O156" i="13"/>
  <c r="P156" i="13"/>
  <c r="Q156" i="13"/>
  <c r="R156" i="13"/>
  <c r="M157" i="13"/>
  <c r="N157" i="13"/>
  <c r="O157" i="13"/>
  <c r="P157" i="13"/>
  <c r="Q157" i="13"/>
  <c r="R157" i="13"/>
  <c r="M158" i="13"/>
  <c r="N158" i="13"/>
  <c r="O158" i="13"/>
  <c r="P158" i="13"/>
  <c r="Q158" i="13"/>
  <c r="R158" i="13"/>
  <c r="M159" i="13"/>
  <c r="N159" i="13"/>
  <c r="O159" i="13"/>
  <c r="P159" i="13"/>
  <c r="Q159" i="13"/>
  <c r="R159" i="13"/>
  <c r="M160" i="13"/>
  <c r="N160" i="13"/>
  <c r="O160" i="13"/>
  <c r="P160" i="13"/>
  <c r="Q160" i="13"/>
  <c r="R160" i="13"/>
  <c r="M162" i="13"/>
  <c r="N162" i="13"/>
  <c r="O162" i="13"/>
  <c r="P162" i="13"/>
  <c r="Q162" i="13"/>
  <c r="R162" i="13"/>
  <c r="M163" i="13"/>
  <c r="N163" i="13"/>
  <c r="O163" i="13"/>
  <c r="P163" i="13"/>
  <c r="Q163" i="13"/>
  <c r="R163" i="13"/>
  <c r="M164" i="13"/>
  <c r="N164" i="13"/>
  <c r="O164" i="13"/>
  <c r="P164" i="13"/>
  <c r="Q164" i="13"/>
  <c r="R164" i="13"/>
  <c r="M165" i="13"/>
  <c r="N165" i="13"/>
  <c r="O165" i="13"/>
  <c r="P165" i="13"/>
  <c r="Q165" i="13"/>
  <c r="R165" i="13"/>
  <c r="M166" i="13"/>
  <c r="N166" i="13"/>
  <c r="O166" i="13"/>
  <c r="P166" i="13"/>
  <c r="Q166" i="13"/>
  <c r="R166" i="13"/>
  <c r="M167" i="13"/>
  <c r="N167" i="13"/>
  <c r="O167" i="13"/>
  <c r="P167" i="13"/>
  <c r="Q167" i="13"/>
  <c r="R167" i="13"/>
  <c r="M168" i="13"/>
  <c r="N168" i="13"/>
  <c r="O168" i="13"/>
  <c r="P168" i="13"/>
  <c r="Q168" i="13"/>
  <c r="R168" i="13"/>
  <c r="M169" i="13"/>
  <c r="N169" i="13"/>
  <c r="O169" i="13"/>
  <c r="P169" i="13"/>
  <c r="Q169" i="13"/>
  <c r="R169" i="13"/>
  <c r="M170" i="13"/>
  <c r="N170" i="13"/>
  <c r="O170" i="13"/>
  <c r="P170" i="13"/>
  <c r="Q170" i="13"/>
  <c r="R170" i="13"/>
  <c r="M171" i="13"/>
  <c r="N171" i="13"/>
  <c r="O171" i="13"/>
  <c r="P171" i="13"/>
  <c r="Q171" i="13"/>
  <c r="R171" i="13"/>
  <c r="M172" i="13"/>
  <c r="N172" i="13"/>
  <c r="O172" i="13"/>
  <c r="P172" i="13"/>
  <c r="Q172" i="13"/>
  <c r="R172" i="13"/>
  <c r="M173" i="13"/>
  <c r="N173" i="13"/>
  <c r="O173" i="13"/>
  <c r="P173" i="13"/>
  <c r="Q173" i="13"/>
  <c r="R173" i="13"/>
  <c r="M174" i="13"/>
  <c r="N174" i="13"/>
  <c r="O174" i="13"/>
  <c r="P174" i="13"/>
  <c r="Q174" i="13"/>
  <c r="R174" i="13"/>
  <c r="M175" i="13"/>
  <c r="N175" i="13"/>
  <c r="O175" i="13"/>
  <c r="P175" i="13"/>
  <c r="Q175" i="13"/>
  <c r="R175" i="13"/>
  <c r="M176" i="13"/>
  <c r="N176" i="13"/>
  <c r="O176" i="13"/>
  <c r="P176" i="13"/>
  <c r="Q176" i="13"/>
  <c r="R176" i="13"/>
  <c r="M177" i="13"/>
  <c r="N177" i="13"/>
  <c r="O177" i="13"/>
  <c r="P177" i="13"/>
  <c r="Q177" i="13"/>
  <c r="R177" i="13"/>
  <c r="M178" i="13"/>
  <c r="N178" i="13"/>
  <c r="O178" i="13"/>
  <c r="P178" i="13"/>
  <c r="Q178" i="13"/>
  <c r="R178" i="13"/>
  <c r="M180" i="13"/>
  <c r="N180" i="13"/>
  <c r="O180" i="13"/>
  <c r="P180" i="13"/>
  <c r="Q180" i="13"/>
  <c r="R180" i="13"/>
  <c r="M181" i="13"/>
  <c r="N181" i="13"/>
  <c r="O181" i="13"/>
  <c r="P181" i="13"/>
  <c r="Q181" i="13"/>
  <c r="R181" i="13"/>
  <c r="M182" i="13"/>
  <c r="N182" i="13"/>
  <c r="O182" i="13"/>
  <c r="P182" i="13"/>
  <c r="Q182" i="13"/>
  <c r="R182" i="13"/>
  <c r="M183" i="13"/>
  <c r="N183" i="13"/>
  <c r="O183" i="13"/>
  <c r="P183" i="13"/>
  <c r="Q183" i="13"/>
  <c r="R183" i="13"/>
  <c r="M184" i="13"/>
  <c r="N184" i="13"/>
  <c r="O184" i="13"/>
  <c r="P184" i="13"/>
  <c r="Q184" i="13"/>
  <c r="R184" i="13"/>
  <c r="M186" i="13"/>
  <c r="N186" i="13"/>
  <c r="O186" i="13"/>
  <c r="P186" i="13"/>
  <c r="Q186" i="13"/>
  <c r="R186" i="13"/>
  <c r="M187" i="13"/>
  <c r="N187" i="13"/>
  <c r="O187" i="13"/>
  <c r="P187" i="13"/>
  <c r="Q187" i="13"/>
  <c r="R187" i="13"/>
  <c r="M188" i="13"/>
  <c r="N188" i="13"/>
  <c r="O188" i="13"/>
  <c r="P188" i="13"/>
  <c r="Q188" i="13"/>
  <c r="R188" i="13"/>
  <c r="M189" i="13"/>
  <c r="N189" i="13"/>
  <c r="O189" i="13"/>
  <c r="P189" i="13"/>
  <c r="Q189" i="13"/>
  <c r="R189" i="13"/>
  <c r="M190" i="13"/>
  <c r="N190" i="13"/>
  <c r="O190" i="13"/>
  <c r="P190" i="13"/>
  <c r="Q190" i="13"/>
  <c r="R190" i="13"/>
  <c r="M191" i="13"/>
  <c r="N191" i="13"/>
  <c r="O191" i="13"/>
  <c r="P191" i="13"/>
  <c r="Q191" i="13"/>
  <c r="R191" i="13"/>
  <c r="M192" i="13"/>
  <c r="N192" i="13"/>
  <c r="O192" i="13"/>
  <c r="P192" i="13"/>
  <c r="Q192" i="13"/>
  <c r="R192" i="13"/>
  <c r="M193" i="13"/>
  <c r="N193" i="13"/>
  <c r="O193" i="13"/>
  <c r="P193" i="13"/>
  <c r="Q193" i="13"/>
  <c r="R193" i="13"/>
  <c r="M194" i="13"/>
  <c r="N194" i="13"/>
  <c r="O194" i="13"/>
  <c r="P194" i="13"/>
  <c r="Q194" i="13"/>
  <c r="R194" i="13"/>
  <c r="M195" i="13"/>
  <c r="N195" i="13"/>
  <c r="O195" i="13"/>
  <c r="P195" i="13"/>
  <c r="Q195" i="13"/>
  <c r="R195" i="13"/>
  <c r="M196" i="13"/>
  <c r="N196" i="13"/>
  <c r="O196" i="13"/>
  <c r="P196" i="13"/>
  <c r="Q196" i="13"/>
  <c r="R196" i="13"/>
  <c r="M198" i="13"/>
  <c r="N198" i="13"/>
  <c r="O198" i="13"/>
  <c r="P198" i="13"/>
  <c r="Q198" i="13"/>
  <c r="R198" i="13"/>
  <c r="M199" i="13"/>
  <c r="N199" i="13"/>
  <c r="O199" i="13"/>
  <c r="P199" i="13"/>
  <c r="Q199" i="13"/>
  <c r="R199" i="13"/>
  <c r="M200" i="13"/>
  <c r="N200" i="13"/>
  <c r="O200" i="13"/>
  <c r="P200" i="13"/>
  <c r="Q200" i="13"/>
  <c r="R200" i="13"/>
  <c r="M202" i="13"/>
  <c r="N202" i="13"/>
  <c r="O202" i="13"/>
  <c r="P202" i="13"/>
  <c r="Q202" i="13"/>
  <c r="R202" i="13"/>
  <c r="M203" i="13"/>
  <c r="N203" i="13"/>
  <c r="O203" i="13"/>
  <c r="P203" i="13"/>
  <c r="Q203" i="13"/>
  <c r="R203" i="13"/>
  <c r="M204" i="13"/>
  <c r="N204" i="13"/>
  <c r="O204" i="13"/>
  <c r="P204" i="13"/>
  <c r="Q204" i="13"/>
  <c r="R204" i="13"/>
  <c r="M205" i="13"/>
  <c r="N205" i="13"/>
  <c r="O205" i="13"/>
  <c r="P205" i="13"/>
  <c r="Q205" i="13"/>
  <c r="R205" i="13"/>
  <c r="M206" i="13"/>
  <c r="N206" i="13"/>
  <c r="O206" i="13"/>
  <c r="P206" i="13"/>
  <c r="Q206" i="13"/>
  <c r="R206" i="13"/>
  <c r="M207" i="13"/>
  <c r="N207" i="13"/>
  <c r="O207" i="13"/>
  <c r="P207" i="13"/>
  <c r="Q207" i="13"/>
  <c r="R207" i="13"/>
  <c r="M208" i="13"/>
  <c r="N208" i="13"/>
  <c r="O208" i="13"/>
  <c r="P208" i="13"/>
  <c r="Q208" i="13"/>
  <c r="R208" i="13"/>
  <c r="M210" i="13"/>
  <c r="N210" i="13"/>
  <c r="O210" i="13"/>
  <c r="P210" i="13"/>
  <c r="Q210" i="13"/>
  <c r="R210" i="13"/>
  <c r="M212" i="13"/>
  <c r="N212" i="13"/>
  <c r="O212" i="13"/>
  <c r="P212" i="13"/>
  <c r="Q212" i="13"/>
  <c r="R212" i="13"/>
  <c r="M213" i="13"/>
  <c r="N213" i="13"/>
  <c r="O213" i="13"/>
  <c r="P213" i="13"/>
  <c r="Q213" i="13"/>
  <c r="R213" i="13"/>
  <c r="M216" i="13"/>
  <c r="N216" i="13"/>
  <c r="O216" i="13"/>
  <c r="P216" i="13"/>
  <c r="Q216" i="13"/>
  <c r="R216" i="13"/>
  <c r="M218" i="13"/>
  <c r="N218" i="13"/>
  <c r="O218" i="13"/>
  <c r="P218" i="13"/>
  <c r="Q218" i="13"/>
  <c r="R218" i="13"/>
  <c r="M219" i="13"/>
  <c r="N219" i="13"/>
  <c r="O219" i="13"/>
  <c r="P219" i="13"/>
  <c r="Q219" i="13"/>
  <c r="R219" i="13"/>
  <c r="M220" i="13"/>
  <c r="N220" i="13"/>
  <c r="O220" i="13"/>
  <c r="P220" i="13"/>
  <c r="Q220" i="13"/>
  <c r="R220" i="13"/>
  <c r="M221" i="13"/>
  <c r="N221" i="13"/>
  <c r="O221" i="13"/>
  <c r="P221" i="13"/>
  <c r="Q221" i="13"/>
  <c r="R221" i="13"/>
  <c r="M222" i="13"/>
  <c r="N222" i="13"/>
  <c r="O222" i="13"/>
  <c r="P222" i="13"/>
  <c r="Q222" i="13"/>
  <c r="R222" i="13"/>
  <c r="M223" i="13"/>
  <c r="N223" i="13"/>
  <c r="O223" i="13"/>
  <c r="P223" i="13"/>
  <c r="Q223" i="13"/>
  <c r="R223" i="13"/>
  <c r="M224" i="13"/>
  <c r="N224" i="13"/>
  <c r="O224" i="13"/>
  <c r="P224" i="13"/>
  <c r="Q224" i="13"/>
  <c r="R224" i="13"/>
  <c r="M225" i="13"/>
  <c r="N225" i="13"/>
  <c r="O225" i="13"/>
  <c r="P225" i="13"/>
  <c r="Q225" i="13"/>
  <c r="R225" i="13"/>
  <c r="M226" i="13"/>
  <c r="N226" i="13"/>
  <c r="O226" i="13"/>
  <c r="P226" i="13"/>
  <c r="Q226" i="13"/>
  <c r="R226" i="13"/>
  <c r="M227" i="13"/>
  <c r="N227" i="13"/>
  <c r="O227" i="13"/>
  <c r="P227" i="13"/>
  <c r="Q227" i="13"/>
  <c r="R227" i="13"/>
  <c r="M228" i="13"/>
  <c r="N228" i="13"/>
  <c r="O228" i="13"/>
  <c r="P228" i="13"/>
  <c r="Q228" i="13"/>
  <c r="R228" i="13"/>
  <c r="M229" i="13"/>
  <c r="N229" i="13"/>
  <c r="O229" i="13"/>
  <c r="P229" i="13"/>
  <c r="Q229" i="13"/>
  <c r="R229" i="13"/>
  <c r="M230" i="13"/>
  <c r="N230" i="13"/>
  <c r="O230" i="13"/>
  <c r="P230" i="13"/>
  <c r="Q230" i="13"/>
  <c r="R230" i="13"/>
  <c r="M231" i="13"/>
  <c r="N231" i="13"/>
  <c r="O231" i="13"/>
  <c r="P231" i="13"/>
  <c r="Q231" i="13"/>
  <c r="R231" i="13"/>
  <c r="M232" i="13"/>
  <c r="N232" i="13"/>
  <c r="O232" i="13"/>
  <c r="P232" i="13"/>
  <c r="Q232" i="13"/>
  <c r="R232" i="13"/>
  <c r="M233" i="13"/>
  <c r="N233" i="13"/>
  <c r="O233" i="13"/>
  <c r="P233" i="13"/>
  <c r="Q233" i="13"/>
  <c r="R233" i="13"/>
  <c r="M234" i="13"/>
  <c r="N234" i="13"/>
  <c r="O234" i="13"/>
  <c r="P234" i="13"/>
  <c r="Q234" i="13"/>
  <c r="R234" i="13"/>
  <c r="M235" i="13"/>
  <c r="N235" i="13"/>
  <c r="O235" i="13"/>
  <c r="P235" i="13"/>
  <c r="Q235" i="13"/>
  <c r="R235" i="13"/>
  <c r="M236" i="13"/>
  <c r="N236" i="13"/>
  <c r="O236" i="13"/>
  <c r="P236" i="13"/>
  <c r="Q236" i="13"/>
  <c r="R236" i="13"/>
  <c r="M237" i="13"/>
  <c r="N237" i="13"/>
  <c r="O237" i="13"/>
  <c r="P237" i="13"/>
  <c r="Q237" i="13"/>
  <c r="R237" i="13"/>
  <c r="M238" i="13"/>
  <c r="N238" i="13"/>
  <c r="O238" i="13"/>
  <c r="P238" i="13"/>
  <c r="Q238" i="13"/>
  <c r="R238" i="13"/>
  <c r="M239" i="13"/>
  <c r="N239" i="13"/>
  <c r="O239" i="13"/>
  <c r="P239" i="13"/>
  <c r="Q239" i="13"/>
  <c r="R239" i="13"/>
  <c r="M240" i="13"/>
  <c r="N240" i="13"/>
  <c r="O240" i="13"/>
  <c r="P240" i="13"/>
  <c r="Q240" i="13"/>
  <c r="R240" i="13"/>
  <c r="M242" i="13"/>
  <c r="N242" i="13"/>
  <c r="O242" i="13"/>
  <c r="P242" i="13"/>
  <c r="Q242" i="13"/>
  <c r="R242" i="13"/>
  <c r="M243" i="13"/>
  <c r="N243" i="13"/>
  <c r="O243" i="13"/>
  <c r="P243" i="13"/>
  <c r="Q243" i="13"/>
  <c r="R243" i="13"/>
  <c r="M244" i="13"/>
  <c r="N244" i="13"/>
  <c r="O244" i="13"/>
  <c r="P244" i="13"/>
  <c r="Q244" i="13"/>
  <c r="R244" i="13"/>
  <c r="M245" i="13"/>
  <c r="N245" i="13"/>
  <c r="O245" i="13"/>
  <c r="P245" i="13"/>
  <c r="Q245" i="13"/>
  <c r="R245" i="13"/>
  <c r="M246" i="13"/>
  <c r="N246" i="13"/>
  <c r="O246" i="13"/>
  <c r="P246" i="13"/>
  <c r="Q246" i="13"/>
  <c r="R246" i="13"/>
  <c r="M247" i="13"/>
  <c r="N247" i="13"/>
  <c r="O247" i="13"/>
  <c r="P247" i="13"/>
  <c r="Q247" i="13"/>
  <c r="R247" i="13"/>
  <c r="M248" i="13"/>
  <c r="N248" i="13"/>
  <c r="O248" i="13"/>
  <c r="P248" i="13"/>
  <c r="Q248" i="13"/>
  <c r="R248" i="13"/>
  <c r="M249" i="13"/>
  <c r="N249" i="13"/>
  <c r="O249" i="13"/>
  <c r="P249" i="13"/>
  <c r="Q249" i="13"/>
  <c r="R249" i="13"/>
  <c r="M250" i="13"/>
  <c r="N250" i="13"/>
  <c r="O250" i="13"/>
  <c r="P250" i="13"/>
  <c r="Q250" i="13"/>
  <c r="R250" i="13"/>
  <c r="M251" i="13"/>
  <c r="N251" i="13"/>
  <c r="O251" i="13"/>
  <c r="P251" i="13"/>
  <c r="Q251" i="13"/>
  <c r="R251" i="13"/>
  <c r="M252" i="13"/>
  <c r="N252" i="13"/>
  <c r="O252" i="13"/>
  <c r="P252" i="13"/>
  <c r="Q252" i="13"/>
  <c r="R252" i="13"/>
  <c r="M253" i="13"/>
  <c r="N253" i="13"/>
  <c r="O253" i="13"/>
  <c r="P253" i="13"/>
  <c r="Q253" i="13"/>
  <c r="R253" i="13"/>
  <c r="M254" i="13"/>
  <c r="N254" i="13"/>
  <c r="O254" i="13"/>
  <c r="P254" i="13"/>
  <c r="Q254" i="13"/>
  <c r="R254" i="13"/>
  <c r="M258" i="13"/>
  <c r="N258" i="13"/>
  <c r="O258" i="13"/>
  <c r="P258" i="13"/>
  <c r="Q258" i="13"/>
  <c r="R258" i="13"/>
  <c r="M259" i="13"/>
  <c r="N259" i="13"/>
  <c r="O259" i="13"/>
  <c r="P259" i="13"/>
  <c r="Q259" i="13"/>
  <c r="R259" i="13"/>
  <c r="M260" i="13"/>
  <c r="N260" i="13"/>
  <c r="O260" i="13"/>
  <c r="P260" i="13"/>
  <c r="Q260" i="13"/>
  <c r="R260" i="13"/>
  <c r="R2" i="13"/>
  <c r="Q2" i="13"/>
  <c r="P2" i="13"/>
  <c r="O2" i="13"/>
  <c r="N2" i="13"/>
  <c r="M2" i="13"/>
  <c r="D174" i="13"/>
  <c r="C174" i="13"/>
  <c r="I173" i="13"/>
  <c r="D173" i="13"/>
  <c r="C173" i="13"/>
  <c r="I153" i="13"/>
  <c r="D153" i="13"/>
  <c r="C153" i="13"/>
  <c r="D159" i="13"/>
  <c r="C159" i="13"/>
  <c r="I164" i="13"/>
  <c r="D164" i="13"/>
  <c r="C164" i="13"/>
  <c r="I163" i="13"/>
  <c r="D163" i="13"/>
  <c r="C163" i="13"/>
  <c r="D148" i="13"/>
  <c r="C148" i="13"/>
  <c r="D147" i="13"/>
  <c r="C147" i="13"/>
  <c r="D143" i="13"/>
  <c r="C143" i="13"/>
  <c r="I138" i="13"/>
  <c r="D138" i="13"/>
  <c r="C138" i="13"/>
  <c r="I136" i="13"/>
  <c r="D136" i="13"/>
  <c r="C136" i="13"/>
  <c r="I135" i="13"/>
  <c r="D135" i="13"/>
  <c r="C135" i="13"/>
  <c r="D134" i="13"/>
  <c r="C134" i="13"/>
  <c r="D131" i="13"/>
  <c r="C131" i="13"/>
  <c r="I128" i="13"/>
  <c r="D128" i="13"/>
  <c r="C128" i="13"/>
  <c r="I125" i="13"/>
  <c r="D125" i="13"/>
  <c r="C125" i="13"/>
  <c r="D114" i="13"/>
  <c r="C114" i="13"/>
  <c r="D109" i="13"/>
  <c r="C109" i="13"/>
  <c r="D108" i="13"/>
  <c r="C108" i="13"/>
  <c r="D87" i="13"/>
  <c r="C87" i="13"/>
  <c r="D86" i="13"/>
  <c r="C86" i="13"/>
  <c r="D85" i="13"/>
  <c r="C85" i="13"/>
  <c r="D84" i="13"/>
  <c r="C84" i="13"/>
  <c r="I105" i="13"/>
  <c r="D105" i="13"/>
  <c r="C105" i="13"/>
  <c r="D100" i="13"/>
  <c r="C100" i="13"/>
  <c r="D99" i="13"/>
  <c r="C99" i="13"/>
  <c r="D97" i="13"/>
  <c r="C97" i="13"/>
  <c r="I96" i="13"/>
  <c r="D96" i="13"/>
  <c r="C96" i="13"/>
  <c r="D91" i="13"/>
  <c r="C91" i="13"/>
  <c r="D90" i="13"/>
  <c r="C90" i="13"/>
  <c r="D45" i="13"/>
  <c r="C45" i="13"/>
  <c r="I43" i="13"/>
  <c r="D43" i="13"/>
  <c r="C43" i="13"/>
  <c r="I44" i="13"/>
  <c r="I103" i="13"/>
  <c r="D83" i="13"/>
  <c r="C83" i="13"/>
  <c r="D82" i="13"/>
  <c r="C82" i="13"/>
  <c r="D81" i="13"/>
  <c r="C81" i="13"/>
  <c r="D80" i="13"/>
  <c r="C80" i="13"/>
  <c r="D79" i="13"/>
  <c r="C79" i="13"/>
  <c r="D77" i="13"/>
  <c r="C77" i="13"/>
  <c r="I76" i="13"/>
  <c r="D76" i="13"/>
  <c r="C76" i="13"/>
  <c r="D74" i="13"/>
  <c r="C74" i="13"/>
  <c r="C62" i="13"/>
  <c r="I63" i="13"/>
  <c r="D63" i="13"/>
  <c r="C63" i="13"/>
  <c r="D62" i="13"/>
  <c r="I61" i="13"/>
  <c r="D61" i="13"/>
  <c r="C61" i="13"/>
  <c r="D60" i="13"/>
  <c r="C60" i="13"/>
  <c r="D50" i="13"/>
  <c r="C50" i="13"/>
  <c r="D49" i="13"/>
  <c r="C49" i="13"/>
  <c r="D48" i="13"/>
  <c r="C48" i="13"/>
  <c r="I41" i="13"/>
  <c r="D41" i="13"/>
  <c r="C41" i="13"/>
  <c r="D39" i="13"/>
  <c r="C39" i="13"/>
  <c r="D37" i="13"/>
  <c r="C37" i="13"/>
  <c r="D36" i="13"/>
  <c r="C36" i="13"/>
  <c r="D34" i="13"/>
  <c r="C34" i="13"/>
  <c r="D33" i="13"/>
  <c r="I35" i="13"/>
  <c r="I38" i="13"/>
  <c r="C25" i="14"/>
  <c r="C24" i="14"/>
  <c r="C23" i="14"/>
  <c r="C22" i="14"/>
  <c r="C21" i="14"/>
  <c r="C20" i="14"/>
  <c r="C19" i="14"/>
  <c r="C18" i="14"/>
  <c r="C16" i="14"/>
  <c r="C15" i="14"/>
  <c r="C14" i="14"/>
  <c r="C13" i="14"/>
  <c r="D254" i="13"/>
  <c r="D250" i="13"/>
  <c r="D247" i="13"/>
  <c r="D243" i="13"/>
  <c r="D238" i="13"/>
  <c r="D234" i="13"/>
  <c r="D230" i="13"/>
  <c r="D226" i="13"/>
  <c r="D222" i="13"/>
  <c r="D218" i="13"/>
  <c r="D216" i="13"/>
  <c r="D213" i="13"/>
  <c r="D212" i="13"/>
  <c r="D210" i="13"/>
  <c r="D208" i="13"/>
  <c r="D207" i="13"/>
  <c r="D206" i="13"/>
  <c r="D205" i="13"/>
  <c r="D204" i="13"/>
  <c r="D203" i="13"/>
  <c r="D202" i="13"/>
  <c r="D200" i="13"/>
  <c r="D199" i="13"/>
  <c r="D198" i="13"/>
  <c r="D196" i="13"/>
  <c r="D195" i="13"/>
  <c r="D194" i="13"/>
  <c r="D193" i="13"/>
  <c r="D192" i="13"/>
  <c r="D191" i="13"/>
  <c r="D190" i="13"/>
  <c r="D189" i="13"/>
  <c r="D188" i="13"/>
  <c r="D187" i="13"/>
  <c r="D186" i="13"/>
  <c r="D184" i="13"/>
  <c r="D183" i="13"/>
  <c r="D182" i="13"/>
  <c r="D181" i="13"/>
  <c r="D180" i="13"/>
  <c r="D178" i="13"/>
  <c r="D177" i="13"/>
  <c r="D176" i="13"/>
  <c r="D175" i="13"/>
  <c r="D172" i="13"/>
  <c r="D171" i="13"/>
  <c r="D170" i="13"/>
  <c r="D169" i="13"/>
  <c r="D168" i="13"/>
  <c r="D167" i="13"/>
  <c r="D166" i="13"/>
  <c r="D165" i="13"/>
  <c r="D162" i="13"/>
  <c r="D160" i="13"/>
  <c r="D158" i="13"/>
  <c r="D157" i="13"/>
  <c r="D156" i="13"/>
  <c r="D155" i="13"/>
  <c r="D154" i="13"/>
  <c r="D152" i="13"/>
  <c r="D151" i="13"/>
  <c r="D150" i="13"/>
  <c r="D149" i="13"/>
  <c r="D146" i="13"/>
  <c r="D145" i="13"/>
  <c r="D144" i="13"/>
  <c r="D142" i="13"/>
  <c r="D141" i="13"/>
  <c r="D140" i="13"/>
  <c r="D139" i="13"/>
  <c r="D137" i="13"/>
  <c r="D133" i="13"/>
  <c r="D132" i="13"/>
  <c r="D130" i="13"/>
  <c r="D129" i="13"/>
  <c r="D127" i="13"/>
  <c r="D126" i="13"/>
  <c r="D122" i="13"/>
  <c r="D121" i="13"/>
  <c r="D120" i="13"/>
  <c r="D119" i="13"/>
  <c r="D118" i="13"/>
  <c r="D117" i="13"/>
  <c r="D116" i="13"/>
  <c r="D115" i="13"/>
  <c r="D113" i="13"/>
  <c r="D112" i="13"/>
  <c r="D111" i="13"/>
  <c r="D110" i="13"/>
  <c r="D107" i="13"/>
  <c r="D106" i="13"/>
  <c r="D104" i="13"/>
  <c r="D103" i="13"/>
  <c r="D102" i="13"/>
  <c r="D101" i="13"/>
  <c r="D98" i="13"/>
  <c r="D95" i="13"/>
  <c r="D94" i="13"/>
  <c r="D93" i="13"/>
  <c r="D92" i="13"/>
  <c r="D89" i="13"/>
  <c r="D88" i="13"/>
  <c r="D78" i="13"/>
  <c r="D75" i="13"/>
  <c r="D73" i="13"/>
  <c r="D72" i="13"/>
  <c r="D71" i="13"/>
  <c r="D70" i="13"/>
  <c r="D68" i="13"/>
  <c r="D67" i="13"/>
  <c r="D66" i="13"/>
  <c r="D65" i="13"/>
  <c r="D64" i="13"/>
  <c r="D59" i="13"/>
  <c r="D58" i="13"/>
  <c r="D57" i="13"/>
  <c r="D56" i="13"/>
  <c r="D55" i="13"/>
  <c r="D54" i="13"/>
  <c r="D53" i="13"/>
  <c r="D52" i="13"/>
  <c r="D51" i="13"/>
  <c r="D47" i="13"/>
  <c r="D46" i="13"/>
  <c r="D44" i="13"/>
  <c r="D42" i="13"/>
  <c r="D38" i="13"/>
  <c r="D35" i="13"/>
  <c r="D32" i="13"/>
  <c r="D31" i="13"/>
  <c r="D30" i="13"/>
  <c r="D29" i="13"/>
  <c r="D27" i="13"/>
  <c r="D25" i="13"/>
  <c r="D24" i="13"/>
  <c r="D23" i="13"/>
  <c r="D22" i="13"/>
  <c r="D21" i="13"/>
  <c r="D15" i="13"/>
  <c r="D14" i="13"/>
  <c r="D13" i="13"/>
  <c r="D12" i="13"/>
  <c r="D11" i="13"/>
  <c r="D10" i="13"/>
  <c r="D9" i="13"/>
  <c r="D8" i="13"/>
  <c r="D7" i="13"/>
  <c r="D5" i="13"/>
  <c r="D4" i="13"/>
  <c r="D3" i="13"/>
  <c r="D2" i="13"/>
  <c r="C259" i="13"/>
  <c r="C252" i="13"/>
  <c r="C249" i="13"/>
  <c r="C245" i="13"/>
  <c r="C240" i="13"/>
  <c r="C236" i="13"/>
  <c r="C232" i="13"/>
  <c r="C228" i="13"/>
  <c r="C224" i="13"/>
  <c r="C220" i="13"/>
  <c r="C218" i="13"/>
  <c r="C216" i="13"/>
  <c r="C213" i="13"/>
  <c r="C212" i="13"/>
  <c r="C210" i="13"/>
  <c r="C208" i="13"/>
  <c r="C207" i="13"/>
  <c r="C206" i="13"/>
  <c r="C205" i="13"/>
  <c r="C204" i="13"/>
  <c r="C203" i="13"/>
  <c r="C202" i="13"/>
  <c r="C200" i="13"/>
  <c r="C199" i="13"/>
  <c r="C198" i="13"/>
  <c r="C196" i="13"/>
  <c r="C195" i="13"/>
  <c r="C194" i="13"/>
  <c r="C193" i="13"/>
  <c r="C192" i="13"/>
  <c r="C191" i="13"/>
  <c r="C190" i="13"/>
  <c r="C189" i="13"/>
  <c r="C188" i="13"/>
  <c r="C187" i="13"/>
  <c r="C186" i="13"/>
  <c r="C184" i="13"/>
  <c r="C183" i="13"/>
  <c r="C182" i="13"/>
  <c r="C181" i="13"/>
  <c r="C180" i="13"/>
  <c r="C178" i="13"/>
  <c r="C177" i="13"/>
  <c r="C176" i="13"/>
  <c r="C175" i="13"/>
  <c r="C172" i="13"/>
  <c r="C171" i="13"/>
  <c r="C170" i="13"/>
  <c r="C169" i="13"/>
  <c r="C168" i="13"/>
  <c r="C167" i="13"/>
  <c r="C166" i="13"/>
  <c r="C165" i="13"/>
  <c r="C162" i="13"/>
  <c r="C160" i="13"/>
  <c r="C158" i="13"/>
  <c r="C157" i="13"/>
  <c r="C156" i="13"/>
  <c r="C155" i="13"/>
  <c r="C154" i="13"/>
  <c r="C152" i="13"/>
  <c r="C151" i="13"/>
  <c r="C150" i="13"/>
  <c r="C149" i="13"/>
  <c r="C146" i="13"/>
  <c r="C145" i="13"/>
  <c r="C144" i="13"/>
  <c r="C142" i="13"/>
  <c r="C141" i="13"/>
  <c r="C140" i="13"/>
  <c r="C139" i="13"/>
  <c r="C137" i="13"/>
  <c r="C133" i="13"/>
  <c r="C132" i="13"/>
  <c r="C130" i="13"/>
  <c r="C129" i="13"/>
  <c r="C127" i="13"/>
  <c r="C126" i="13"/>
  <c r="C122" i="13"/>
  <c r="C121" i="13"/>
  <c r="C120" i="13"/>
  <c r="C119" i="13"/>
  <c r="C118" i="13"/>
  <c r="C117" i="13"/>
  <c r="C116" i="13"/>
  <c r="C115" i="13"/>
  <c r="C113" i="13"/>
  <c r="C112" i="13"/>
  <c r="C111" i="13"/>
  <c r="C110" i="13"/>
  <c r="C107" i="13"/>
  <c r="C106" i="13"/>
  <c r="C104" i="13"/>
  <c r="C103" i="13"/>
  <c r="C102" i="13"/>
  <c r="C101" i="13"/>
  <c r="C98" i="13"/>
  <c r="C95" i="13"/>
  <c r="C94" i="13"/>
  <c r="C93" i="13"/>
  <c r="C92" i="13"/>
  <c r="C89" i="13"/>
  <c r="C88" i="13"/>
  <c r="C78" i="13"/>
  <c r="C75" i="13"/>
  <c r="C73" i="13"/>
  <c r="C72" i="13"/>
  <c r="C71" i="13"/>
  <c r="C70" i="13"/>
  <c r="C68" i="13"/>
  <c r="C67" i="13"/>
  <c r="C66" i="13"/>
  <c r="C65" i="13"/>
  <c r="C64" i="13"/>
  <c r="C59" i="13"/>
  <c r="C58" i="13"/>
  <c r="C57" i="13"/>
  <c r="C56" i="13"/>
  <c r="C55" i="13"/>
  <c r="C54" i="13"/>
  <c r="C53" i="13"/>
  <c r="C52" i="13"/>
  <c r="C51" i="13"/>
  <c r="C47" i="13"/>
  <c r="C46" i="13"/>
  <c r="C44" i="13"/>
  <c r="C42" i="13"/>
  <c r="C38" i="13"/>
  <c r="C35" i="13"/>
  <c r="C32" i="13"/>
  <c r="C31" i="13"/>
  <c r="C30" i="13"/>
  <c r="C29" i="13"/>
  <c r="C27" i="13"/>
  <c r="C25" i="13"/>
  <c r="C24" i="13"/>
  <c r="C23" i="13"/>
  <c r="C22" i="13"/>
  <c r="C21" i="13"/>
  <c r="C15" i="13"/>
  <c r="C14" i="13"/>
  <c r="C13" i="13"/>
  <c r="C12" i="13"/>
  <c r="C11" i="13"/>
  <c r="C10" i="13"/>
  <c r="C9" i="13"/>
  <c r="C8" i="13"/>
  <c r="C7" i="13"/>
  <c r="C5" i="13"/>
  <c r="C4" i="13"/>
  <c r="C3" i="13"/>
  <c r="C2" i="13"/>
  <c r="C221" i="13"/>
  <c r="C225" i="13"/>
  <c r="C229" i="13"/>
  <c r="C233" i="13"/>
  <c r="C237" i="13"/>
  <c r="C242" i="13"/>
  <c r="C246" i="13"/>
  <c r="C253" i="13"/>
  <c r="C260" i="13"/>
  <c r="D219" i="13"/>
  <c r="D223" i="13"/>
  <c r="D227" i="13"/>
  <c r="D231" i="13"/>
  <c r="D235" i="13"/>
  <c r="D239" i="13"/>
  <c r="D244" i="13"/>
  <c r="D248" i="13"/>
  <c r="D251" i="13"/>
  <c r="D258" i="13"/>
  <c r="C261" i="13"/>
  <c r="I241" i="13"/>
  <c r="C256" i="13"/>
  <c r="D255" i="13"/>
  <c r="C222" i="13"/>
  <c r="C226" i="13"/>
  <c r="C230" i="13"/>
  <c r="C234" i="13"/>
  <c r="C238" i="13"/>
  <c r="C243" i="13"/>
  <c r="C247" i="13"/>
  <c r="C250" i="13"/>
  <c r="C254" i="13"/>
  <c r="D220" i="13"/>
  <c r="D224" i="13"/>
  <c r="D228" i="13"/>
  <c r="D232" i="13"/>
  <c r="D236" i="13"/>
  <c r="D240" i="13"/>
  <c r="D245" i="13"/>
  <c r="D249" i="13"/>
  <c r="D252" i="13"/>
  <c r="D259" i="13"/>
  <c r="I257" i="13"/>
  <c r="C255" i="13"/>
  <c r="C219" i="13"/>
  <c r="C223" i="13"/>
  <c r="C227" i="13"/>
  <c r="C231" i="13"/>
  <c r="C235" i="13"/>
  <c r="C239" i="13"/>
  <c r="C244" i="13"/>
  <c r="C248" i="13"/>
  <c r="C251" i="13"/>
  <c r="C258" i="13"/>
  <c r="D221" i="13"/>
  <c r="D225" i="13"/>
  <c r="D229" i="13"/>
  <c r="D233" i="13"/>
  <c r="D237" i="13"/>
  <c r="D242" i="13"/>
  <c r="D246" i="13"/>
  <c r="D253" i="13"/>
  <c r="D260" i="13"/>
  <c r="C241" i="13"/>
  <c r="D257" i="13"/>
  <c r="I256" i="13"/>
  <c r="H220" i="15"/>
  <c r="H222" i="15"/>
  <c r="U21" i="13"/>
  <c r="V16" i="13"/>
  <c r="X17" i="13"/>
  <c r="D28" i="14" s="1"/>
  <c r="U17" i="13"/>
  <c r="V21" i="13"/>
  <c r="W16" i="13"/>
  <c r="E27" i="14" s="1"/>
  <c r="Y21" i="13"/>
  <c r="U16" i="13"/>
  <c r="V18" i="13"/>
  <c r="V17" i="13"/>
  <c r="T15" i="13"/>
  <c r="C26" i="14" s="1"/>
  <c r="T16" i="13"/>
  <c r="C27" i="14" s="1"/>
  <c r="T19" i="13"/>
  <c r="C30" i="14" s="1"/>
  <c r="Y18" i="13"/>
  <c r="F29" i="14" s="1"/>
  <c r="Y16" i="13"/>
  <c r="F27" i="14" s="1"/>
  <c r="Y19" i="13"/>
  <c r="F30" i="14" s="1"/>
  <c r="U18" i="13" l="1"/>
  <c r="T18" i="13"/>
  <c r="C29" i="14" s="1"/>
  <c r="W18" i="13"/>
  <c r="E29" i="14" s="1"/>
  <c r="E50" i="13"/>
  <c r="S122" i="13"/>
  <c r="S136" i="13"/>
  <c r="S150" i="13"/>
  <c r="S166" i="13"/>
  <c r="S182" i="13"/>
  <c r="S198" i="13"/>
  <c r="S214" i="13"/>
  <c r="S230" i="13"/>
  <c r="S246" i="13"/>
  <c r="N69" i="13"/>
  <c r="N161" i="13"/>
  <c r="N211" i="13"/>
  <c r="S25" i="13"/>
  <c r="S36" i="13"/>
  <c r="S48" i="13"/>
  <c r="S61" i="13"/>
  <c r="S74" i="13"/>
  <c r="S86" i="13"/>
  <c r="S100" i="13"/>
  <c r="S112" i="13"/>
  <c r="S127" i="13"/>
  <c r="S140" i="13"/>
  <c r="S154" i="13"/>
  <c r="S170" i="13"/>
  <c r="S186" i="13"/>
  <c r="S202" i="13"/>
  <c r="S218" i="13"/>
  <c r="S234" i="13"/>
  <c r="S250" i="13"/>
  <c r="K123" i="13"/>
  <c r="E123" i="13" s="1"/>
  <c r="L123" i="13"/>
  <c r="I141" i="13"/>
  <c r="J141" i="13" s="1"/>
  <c r="L141" i="13" s="1"/>
  <c r="I145" i="13"/>
  <c r="J145" i="13" s="1"/>
  <c r="L145" i="13" s="1"/>
  <c r="I157" i="13"/>
  <c r="J157" i="13" s="1"/>
  <c r="L157" i="13" s="1"/>
  <c r="I169" i="13"/>
  <c r="J169" i="13" s="1"/>
  <c r="L169" i="13" s="1"/>
  <c r="I176" i="13"/>
  <c r="J176" i="13" s="1"/>
  <c r="L176" i="13" s="1"/>
  <c r="I188" i="13"/>
  <c r="J188" i="13" s="1"/>
  <c r="L188" i="13" s="1"/>
  <c r="I192" i="13"/>
  <c r="J192" i="13" s="1"/>
  <c r="L192" i="13" s="1"/>
  <c r="I196" i="13"/>
  <c r="J196" i="13" s="1"/>
  <c r="L196" i="13" s="1"/>
  <c r="I204" i="13"/>
  <c r="J204" i="13" s="1"/>
  <c r="L204" i="13" s="1"/>
  <c r="I213" i="13"/>
  <c r="J213" i="13" s="1"/>
  <c r="L213" i="13" s="1"/>
  <c r="I219" i="13"/>
  <c r="J219" i="13" s="1"/>
  <c r="L219" i="13" s="1"/>
  <c r="I223" i="13"/>
  <c r="J223" i="13" s="1"/>
  <c r="L223" i="13" s="1"/>
  <c r="I227" i="13"/>
  <c r="J227" i="13" s="1"/>
  <c r="L227" i="13" s="1"/>
  <c r="I231" i="13"/>
  <c r="J231" i="13" s="1"/>
  <c r="L231" i="13" s="1"/>
  <c r="I235" i="13"/>
  <c r="J235" i="13" s="1"/>
  <c r="L235" i="13" s="1"/>
  <c r="I239" i="13"/>
  <c r="J239" i="13" s="1"/>
  <c r="L239" i="13" s="1"/>
  <c r="I244" i="13"/>
  <c r="J244" i="13" s="1"/>
  <c r="L244" i="13" s="1"/>
  <c r="I248" i="13"/>
  <c r="J248" i="13" s="1"/>
  <c r="L248" i="13" s="1"/>
  <c r="I252" i="13"/>
  <c r="J252" i="13" s="1"/>
  <c r="L252" i="13" s="1"/>
  <c r="I259" i="13"/>
  <c r="J259" i="13" s="1"/>
  <c r="L259" i="13" s="1"/>
  <c r="I147" i="13"/>
  <c r="I151" i="13"/>
  <c r="J151" i="13" s="1"/>
  <c r="L151" i="13" s="1"/>
  <c r="I158" i="13"/>
  <c r="J158" i="13" s="1"/>
  <c r="L158" i="13" s="1"/>
  <c r="I181" i="13"/>
  <c r="J181" i="13" s="1"/>
  <c r="L181" i="13" s="1"/>
  <c r="I185" i="13"/>
  <c r="J185" i="13" s="1"/>
  <c r="L185" i="13" s="1"/>
  <c r="I200" i="13"/>
  <c r="J200" i="13" s="1"/>
  <c r="L200" i="13" s="1"/>
  <c r="I208" i="13"/>
  <c r="J208" i="13" s="1"/>
  <c r="L208" i="13" s="1"/>
  <c r="I142" i="13"/>
  <c r="I166" i="13"/>
  <c r="J166" i="13" s="1"/>
  <c r="L166" i="13" s="1"/>
  <c r="I171" i="13"/>
  <c r="J171" i="13" s="1"/>
  <c r="L171" i="13" s="1"/>
  <c r="I177" i="13"/>
  <c r="J177" i="13" s="1"/>
  <c r="L177" i="13" s="1"/>
  <c r="I189" i="13"/>
  <c r="J189" i="13" s="1"/>
  <c r="L189" i="13" s="1"/>
  <c r="I193" i="13"/>
  <c r="J193" i="13" s="1"/>
  <c r="L193" i="13" s="1"/>
  <c r="I214" i="13"/>
  <c r="J214" i="13" s="1"/>
  <c r="L214" i="13" s="1"/>
  <c r="I220" i="13"/>
  <c r="J220" i="13" s="1"/>
  <c r="L220" i="13" s="1"/>
  <c r="I224" i="13"/>
  <c r="J224" i="13" s="1"/>
  <c r="L224" i="13" s="1"/>
  <c r="I228" i="13"/>
  <c r="J228" i="13" s="1"/>
  <c r="L228" i="13" s="1"/>
  <c r="I232" i="13"/>
  <c r="J232" i="13" s="1"/>
  <c r="L232" i="13" s="1"/>
  <c r="I236" i="13"/>
  <c r="J236" i="13" s="1"/>
  <c r="L236" i="13" s="1"/>
  <c r="I240" i="13"/>
  <c r="J240" i="13" s="1"/>
  <c r="L240" i="13" s="1"/>
  <c r="I245" i="13"/>
  <c r="J245" i="13" s="1"/>
  <c r="L245" i="13" s="1"/>
  <c r="I249" i="13"/>
  <c r="J249" i="13" s="1"/>
  <c r="L249" i="13" s="1"/>
  <c r="I253" i="13"/>
  <c r="J253" i="13" s="1"/>
  <c r="L253" i="13" s="1"/>
  <c r="I260" i="13"/>
  <c r="J260" i="13" s="1"/>
  <c r="L260" i="13" s="1"/>
  <c r="I170" i="13"/>
  <c r="I148" i="13"/>
  <c r="J148" i="13" s="1"/>
  <c r="I152" i="13"/>
  <c r="J152" i="13" s="1"/>
  <c r="L152" i="13" s="1"/>
  <c r="I160" i="13"/>
  <c r="J160" i="13" s="1"/>
  <c r="L160" i="13" s="1"/>
  <c r="I182" i="13"/>
  <c r="J182" i="13" s="1"/>
  <c r="L182" i="13" s="1"/>
  <c r="I197" i="13"/>
  <c r="J197" i="13" s="1"/>
  <c r="L197" i="13" s="1"/>
  <c r="I202" i="13"/>
  <c r="J202" i="13" s="1"/>
  <c r="L202" i="13" s="1"/>
  <c r="I205" i="13"/>
  <c r="J205" i="13" s="1"/>
  <c r="L205" i="13" s="1"/>
  <c r="I210" i="13"/>
  <c r="H211" i="13" s="1"/>
  <c r="I209" i="13"/>
  <c r="J209" i="13" s="1"/>
  <c r="L209" i="13" s="1"/>
  <c r="I139" i="13"/>
  <c r="J139" i="13" s="1"/>
  <c r="L139" i="13" s="1"/>
  <c r="I154" i="13"/>
  <c r="J154" i="13" s="1"/>
  <c r="L154" i="13" s="1"/>
  <c r="I167" i="13"/>
  <c r="J167" i="13" s="1"/>
  <c r="L167" i="13" s="1"/>
  <c r="I172" i="13"/>
  <c r="J172" i="13" s="1"/>
  <c r="L172" i="13" s="1"/>
  <c r="I178" i="13"/>
  <c r="J178" i="13" s="1"/>
  <c r="L178" i="13" s="1"/>
  <c r="I186" i="13"/>
  <c r="J186" i="13" s="1"/>
  <c r="L186" i="13" s="1"/>
  <c r="I190" i="13"/>
  <c r="J190" i="13" s="1"/>
  <c r="L190" i="13" s="1"/>
  <c r="I194" i="13"/>
  <c r="J194" i="13" s="1"/>
  <c r="L194" i="13" s="1"/>
  <c r="I216" i="13"/>
  <c r="J216" i="13" s="1"/>
  <c r="L216" i="13" s="1"/>
  <c r="I221" i="13"/>
  <c r="J221" i="13" s="1"/>
  <c r="L221" i="13" s="1"/>
  <c r="I225" i="13"/>
  <c r="J225" i="13" s="1"/>
  <c r="L225" i="13" s="1"/>
  <c r="I229" i="13"/>
  <c r="J229" i="13" s="1"/>
  <c r="L229" i="13" s="1"/>
  <c r="I233" i="13"/>
  <c r="J233" i="13" s="1"/>
  <c r="L233" i="13" s="1"/>
  <c r="I237" i="13"/>
  <c r="J237" i="13" s="1"/>
  <c r="L237" i="13" s="1"/>
  <c r="I242" i="13"/>
  <c r="J242" i="13" s="1"/>
  <c r="L242" i="13" s="1"/>
  <c r="I246" i="13"/>
  <c r="J246" i="13" s="1"/>
  <c r="L246" i="13" s="1"/>
  <c r="I250" i="13"/>
  <c r="J250" i="13" s="1"/>
  <c r="L250" i="13" s="1"/>
  <c r="I254" i="13"/>
  <c r="J254" i="13" s="1"/>
  <c r="L254" i="13" s="1"/>
  <c r="I146" i="13"/>
  <c r="I179" i="13"/>
  <c r="J179" i="13" s="1"/>
  <c r="L179" i="13" s="1"/>
  <c r="I149" i="13"/>
  <c r="J149" i="13" s="1"/>
  <c r="L149" i="13" s="1"/>
  <c r="I155" i="13"/>
  <c r="J155" i="13" s="1"/>
  <c r="L155" i="13" s="1"/>
  <c r="I162" i="13"/>
  <c r="J162" i="13" s="1"/>
  <c r="L162" i="13" s="1"/>
  <c r="I183" i="13"/>
  <c r="J183" i="13" s="1"/>
  <c r="L183" i="13" s="1"/>
  <c r="I198" i="13"/>
  <c r="J198" i="13" s="1"/>
  <c r="L198" i="13" s="1"/>
  <c r="I206" i="13"/>
  <c r="J206" i="13" s="1"/>
  <c r="L206" i="13" s="1"/>
  <c r="I211" i="13"/>
  <c r="J211" i="13" s="1"/>
  <c r="I159" i="13"/>
  <c r="J159" i="13" s="1"/>
  <c r="L159" i="13" s="1"/>
  <c r="I144" i="13"/>
  <c r="J144" i="13" s="1"/>
  <c r="L144" i="13" s="1"/>
  <c r="I150" i="13"/>
  <c r="J150" i="13" s="1"/>
  <c r="L150" i="13" s="1"/>
  <c r="I165" i="13"/>
  <c r="J165" i="13" s="1"/>
  <c r="L165" i="13" s="1"/>
  <c r="I184" i="13"/>
  <c r="J184" i="13" s="1"/>
  <c r="L184" i="13" s="1"/>
  <c r="I199" i="13"/>
  <c r="J199" i="13" s="1"/>
  <c r="L199" i="13" s="1"/>
  <c r="I207" i="13"/>
  <c r="J207" i="13" s="1"/>
  <c r="L207" i="13" s="1"/>
  <c r="M241" i="13"/>
  <c r="P257" i="13"/>
  <c r="O256" i="13"/>
  <c r="N255" i="13"/>
  <c r="M26" i="13"/>
  <c r="M69" i="13"/>
  <c r="M161" i="13"/>
  <c r="M211" i="13"/>
  <c r="S26" i="13"/>
  <c r="S37" i="13"/>
  <c r="S50" i="13"/>
  <c r="S62" i="13"/>
  <c r="S76" i="13"/>
  <c r="S88" i="13"/>
  <c r="S101" i="13"/>
  <c r="S114" i="13"/>
  <c r="S128" i="13"/>
  <c r="S142" i="13"/>
  <c r="S156" i="13"/>
  <c r="S172" i="13"/>
  <c r="S188" i="13"/>
  <c r="S204" i="13"/>
  <c r="S220" i="13"/>
  <c r="S236" i="13"/>
  <c r="S252" i="13"/>
  <c r="M255" i="13"/>
  <c r="S27" i="13"/>
  <c r="S38" i="13"/>
  <c r="S52" i="13"/>
  <c r="S64" i="13"/>
  <c r="S77" i="13"/>
  <c r="S90" i="13"/>
  <c r="S102" i="13"/>
  <c r="S116" i="13"/>
  <c r="S130" i="13"/>
  <c r="S143" i="13"/>
  <c r="S158" i="13"/>
  <c r="S174" i="13"/>
  <c r="S190" i="13"/>
  <c r="S206" i="13"/>
  <c r="S222" i="13"/>
  <c r="S238" i="13"/>
  <c r="S254" i="13"/>
  <c r="I218" i="13"/>
  <c r="J218" i="13" s="1"/>
  <c r="L218" i="13" s="1"/>
  <c r="S29" i="13"/>
  <c r="S40" i="13"/>
  <c r="S53" i="13"/>
  <c r="S66" i="13"/>
  <c r="S78" i="13"/>
  <c r="S92" i="13"/>
  <c r="S104" i="13"/>
  <c r="S117" i="13"/>
  <c r="S132" i="13"/>
  <c r="S144" i="13"/>
  <c r="S160" i="13"/>
  <c r="S176" i="13"/>
  <c r="S192" i="13"/>
  <c r="S208" i="13"/>
  <c r="S224" i="13"/>
  <c r="S240" i="13"/>
  <c r="I174" i="13"/>
  <c r="J174" i="13" s="1"/>
  <c r="L174" i="13" s="1"/>
  <c r="S257" i="13"/>
  <c r="S249" i="13"/>
  <c r="S241" i="13"/>
  <c r="S233" i="13"/>
  <c r="S225" i="13"/>
  <c r="S217" i="13"/>
  <c r="S209" i="13"/>
  <c r="S201" i="13"/>
  <c r="S193" i="13"/>
  <c r="S185" i="13"/>
  <c r="S177" i="13"/>
  <c r="S169" i="13"/>
  <c r="S161" i="13"/>
  <c r="S153" i="13"/>
  <c r="S145" i="13"/>
  <c r="S137" i="13"/>
  <c r="S129" i="13"/>
  <c r="S119" i="13"/>
  <c r="S111" i="13"/>
  <c r="S103" i="13"/>
  <c r="S95" i="13"/>
  <c r="S87" i="13"/>
  <c r="S79" i="13"/>
  <c r="S71" i="13"/>
  <c r="S63" i="13"/>
  <c r="S55" i="13"/>
  <c r="S47" i="13"/>
  <c r="S39" i="13"/>
  <c r="S31" i="13"/>
  <c r="S22" i="13"/>
  <c r="S255" i="13"/>
  <c r="S247" i="13"/>
  <c r="S239" i="13"/>
  <c r="S231" i="13"/>
  <c r="S223" i="13"/>
  <c r="S215" i="13"/>
  <c r="S207" i="13"/>
  <c r="S199" i="13"/>
  <c r="S191" i="13"/>
  <c r="S183" i="13"/>
  <c r="S175" i="13"/>
  <c r="S167" i="13"/>
  <c r="S159" i="13"/>
  <c r="S151" i="13"/>
  <c r="S261" i="13"/>
  <c r="S253" i="13"/>
  <c r="S245" i="13"/>
  <c r="S237" i="13"/>
  <c r="S229" i="13"/>
  <c r="S221" i="13"/>
  <c r="S213" i="13"/>
  <c r="S205" i="13"/>
  <c r="S197" i="13"/>
  <c r="S189" i="13"/>
  <c r="S181" i="13"/>
  <c r="S173" i="13"/>
  <c r="S165" i="13"/>
  <c r="S157" i="13"/>
  <c r="S149" i="13"/>
  <c r="S141" i="13"/>
  <c r="S133" i="13"/>
  <c r="S125" i="13"/>
  <c r="S115" i="13"/>
  <c r="S107" i="13"/>
  <c r="S99" i="13"/>
  <c r="S91" i="13"/>
  <c r="S83" i="13"/>
  <c r="S75" i="13"/>
  <c r="S67" i="13"/>
  <c r="S59" i="13"/>
  <c r="S51" i="13"/>
  <c r="S43" i="13"/>
  <c r="S259" i="13"/>
  <c r="S251" i="13"/>
  <c r="S243" i="13"/>
  <c r="S235" i="13"/>
  <c r="S227" i="13"/>
  <c r="S219" i="13"/>
  <c r="S211" i="13"/>
  <c r="S203" i="13"/>
  <c r="S195" i="13"/>
  <c r="S187" i="13"/>
  <c r="S179" i="13"/>
  <c r="S171" i="13"/>
  <c r="S163" i="13"/>
  <c r="S155" i="13"/>
  <c r="S147" i="13"/>
  <c r="S139" i="13"/>
  <c r="S131" i="13"/>
  <c r="S121" i="13"/>
  <c r="S113" i="13"/>
  <c r="S105" i="13"/>
  <c r="S97" i="13"/>
  <c r="S89" i="13"/>
  <c r="S81" i="13"/>
  <c r="S73" i="13"/>
  <c r="S65" i="13"/>
  <c r="S57" i="13"/>
  <c r="S49" i="13"/>
  <c r="S41" i="13"/>
  <c r="S33" i="13"/>
  <c r="S24" i="13"/>
  <c r="M214" i="13"/>
  <c r="M217" i="13"/>
  <c r="O261" i="13"/>
  <c r="P20" i="13"/>
  <c r="Q241" i="13"/>
  <c r="R255" i="13"/>
  <c r="Q26" i="13"/>
  <c r="Q69" i="13"/>
  <c r="Q161" i="13"/>
  <c r="Q211" i="13"/>
  <c r="S20" i="13"/>
  <c r="S32" i="13"/>
  <c r="S44" i="13"/>
  <c r="S56" i="13"/>
  <c r="S69" i="13"/>
  <c r="S82" i="13"/>
  <c r="S94" i="13"/>
  <c r="S108" i="13"/>
  <c r="S120" i="13"/>
  <c r="S135" i="13"/>
  <c r="S148" i="13"/>
  <c r="S164" i="13"/>
  <c r="S180" i="13"/>
  <c r="S196" i="13"/>
  <c r="S212" i="13"/>
  <c r="S228" i="13"/>
  <c r="S244" i="13"/>
  <c r="S260" i="13"/>
  <c r="L106" i="13"/>
  <c r="L39" i="13"/>
  <c r="L32" i="13"/>
  <c r="J261" i="13"/>
  <c r="L261" i="13" s="1"/>
  <c r="L133" i="13"/>
  <c r="L104" i="13"/>
  <c r="L70" i="13"/>
  <c r="L66" i="13"/>
  <c r="L60" i="13"/>
  <c r="L55" i="13"/>
  <c r="L51" i="13"/>
  <c r="L46" i="13"/>
  <c r="L36" i="13"/>
  <c r="L31" i="13"/>
  <c r="L27" i="13"/>
  <c r="L93" i="13"/>
  <c r="L89" i="13"/>
  <c r="L85" i="13"/>
  <c r="L81" i="13"/>
  <c r="L74" i="13"/>
  <c r="L21" i="13"/>
  <c r="L13" i="13"/>
  <c r="L121" i="13"/>
  <c r="L102" i="13"/>
  <c r="L34" i="13"/>
  <c r="L92" i="13"/>
  <c r="L88" i="13"/>
  <c r="L84" i="13"/>
  <c r="L78" i="13"/>
  <c r="H58" i="13"/>
  <c r="K58" i="13" s="1"/>
  <c r="E58" i="13" s="1"/>
  <c r="L20" i="13"/>
  <c r="L12" i="13"/>
  <c r="L126" i="13"/>
  <c r="L120" i="13"/>
  <c r="L108" i="13"/>
  <c r="L42" i="13"/>
  <c r="L33" i="13"/>
  <c r="L83" i="13"/>
  <c r="L77" i="13"/>
  <c r="L112" i="13"/>
  <c r="J241" i="13"/>
  <c r="L241" i="13" s="1"/>
  <c r="Y15" i="13"/>
  <c r="F26" i="14" s="1"/>
  <c r="W15" i="13"/>
  <c r="E26" i="14" s="1"/>
  <c r="V19" i="13"/>
  <c r="L134" i="13"/>
  <c r="W19" i="13"/>
  <c r="E30" i="14" s="1"/>
  <c r="X19" i="13"/>
  <c r="D30" i="14" s="1"/>
  <c r="V15" i="13"/>
  <c r="X15" i="13"/>
  <c r="D26" i="14" s="1"/>
  <c r="L128" i="13"/>
  <c r="J25" i="13"/>
  <c r="L25" i="13" s="1"/>
  <c r="H26" i="13"/>
  <c r="K26" i="13" s="1"/>
  <c r="E26" i="13" s="1"/>
  <c r="J63" i="13"/>
  <c r="L63" i="13" s="1"/>
  <c r="J268" i="13"/>
  <c r="L268" i="13" s="1"/>
  <c r="J128" i="13"/>
  <c r="J146" i="13"/>
  <c r="L146" i="13" s="1"/>
  <c r="J79" i="13"/>
  <c r="L79" i="13" s="1"/>
  <c r="J215" i="13"/>
  <c r="L215" i="13" s="1"/>
  <c r="J263" i="13"/>
  <c r="L263" i="13" s="1"/>
  <c r="H78" i="14"/>
  <c r="J170" i="13"/>
  <c r="L170" i="13" s="1"/>
  <c r="J96" i="13"/>
  <c r="L96" i="13" s="1"/>
  <c r="J45" i="13"/>
  <c r="L45" i="13" s="1"/>
  <c r="J105" i="13"/>
  <c r="L105" i="13" s="1"/>
  <c r="J256" i="13"/>
  <c r="L256" i="13" s="1"/>
  <c r="J16" i="13"/>
  <c r="L16" i="13" s="1"/>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U9" i="13" s="1"/>
  <c r="S123" i="13"/>
  <c r="P123" i="13"/>
  <c r="C123" i="13"/>
  <c r="M123" i="13"/>
  <c r="Q123" i="13"/>
  <c r="N123" i="13"/>
  <c r="L211" i="13"/>
  <c r="K211" i="13"/>
  <c r="E211" i="13" s="1"/>
  <c r="T17" i="13"/>
  <c r="C28" i="14" s="1"/>
  <c r="U20" i="13"/>
  <c r="D124" i="13"/>
  <c r="O124" i="13"/>
  <c r="Y20" i="13"/>
  <c r="F31" i="14" s="1"/>
  <c r="V20" i="13"/>
  <c r="X20" i="13"/>
  <c r="D31" i="14" s="1"/>
  <c r="Y17" i="13"/>
  <c r="F28" i="14" s="1"/>
  <c r="R124" i="13"/>
  <c r="N124" i="13"/>
  <c r="T21" i="13"/>
  <c r="C32" i="14" s="1"/>
  <c r="L124" i="13"/>
  <c r="H101" i="13"/>
  <c r="K101" i="13" s="1"/>
  <c r="E101" i="13" s="1"/>
  <c r="T20" i="13"/>
  <c r="C31" i="14" s="1"/>
  <c r="C124" i="13"/>
  <c r="Q124" i="13"/>
  <c r="M124" i="13"/>
  <c r="S124" i="13"/>
  <c r="H56" i="13"/>
  <c r="H73" i="13"/>
  <c r="L73" i="13" s="1"/>
  <c r="X21" i="13"/>
  <c r="D32" i="14" s="1"/>
  <c r="K28" i="13"/>
  <c r="E28" i="13" s="1"/>
  <c r="L28" i="13"/>
  <c r="H59" i="13"/>
  <c r="J210" i="13" l="1"/>
  <c r="L210" i="13" s="1"/>
  <c r="H161" i="13"/>
  <c r="L161" i="13" s="1"/>
  <c r="L58" i="13"/>
  <c r="L101" i="13"/>
  <c r="J147" i="13"/>
  <c r="L147" i="13" s="1"/>
  <c r="H148" i="13"/>
  <c r="J142" i="13"/>
  <c r="L142" i="13" s="1"/>
  <c r="H143" i="13"/>
  <c r="L26" i="13"/>
  <c r="K161" i="13"/>
  <c r="E161" i="13" s="1"/>
  <c r="L56" i="13"/>
  <c r="K56" i="13"/>
  <c r="E56" i="13" s="1"/>
  <c r="K59" i="13"/>
  <c r="E59" i="13" s="1"/>
  <c r="L59" i="13"/>
  <c r="I28" i="13"/>
  <c r="J28" i="13" s="1"/>
  <c r="W13" i="13"/>
  <c r="X6" i="13"/>
  <c r="D17" i="14" s="1"/>
  <c r="X14" i="13"/>
  <c r="D25" i="14" s="1"/>
  <c r="X5" i="13"/>
  <c r="D16" i="14" s="1"/>
  <c r="O28" i="13"/>
  <c r="V10" i="13"/>
  <c r="V14" i="13"/>
  <c r="V3" i="13"/>
  <c r="X13" i="13"/>
  <c r="D24" i="14" s="1"/>
  <c r="X9" i="13"/>
  <c r="D20" i="14" s="1"/>
  <c r="P28" i="13"/>
  <c r="V7" i="13"/>
  <c r="V11" i="13"/>
  <c r="V2" i="13"/>
  <c r="U7" i="13"/>
  <c r="W10" i="13"/>
  <c r="W8" i="13"/>
  <c r="W12" i="13"/>
  <c r="V8" i="13"/>
  <c r="V12" i="13"/>
  <c r="V5" i="13"/>
  <c r="C28" i="13"/>
  <c r="U4" i="13"/>
  <c r="V6" i="13"/>
  <c r="S28" i="13"/>
  <c r="X12" i="13"/>
  <c r="D23" i="14" s="1"/>
  <c r="X8" i="13"/>
  <c r="D19" i="14" s="1"/>
  <c r="X3" i="13"/>
  <c r="D14" i="14" s="1"/>
  <c r="M28" i="13"/>
  <c r="Q28" i="13"/>
  <c r="U5" i="13"/>
  <c r="W6" i="13"/>
  <c r="U6" i="13"/>
  <c r="X11" i="13"/>
  <c r="D22" i="14" s="1"/>
  <c r="X7" i="13"/>
  <c r="D18" i="14" s="1"/>
  <c r="X2" i="13"/>
  <c r="D13" i="14" s="1"/>
  <c r="N28" i="13"/>
  <c r="R28" i="13"/>
  <c r="W5" i="13"/>
  <c r="U3" i="13"/>
  <c r="U11" i="13"/>
  <c r="U12" i="13"/>
  <c r="W7" i="13"/>
  <c r="U13" i="13"/>
  <c r="U2" i="13"/>
  <c r="V9" i="13"/>
  <c r="W2" i="13"/>
  <c r="W9" i="13"/>
  <c r="U8" i="13"/>
  <c r="W4" i="13"/>
  <c r="U10" i="13"/>
  <c r="W14" i="13"/>
  <c r="W3" i="13"/>
  <c r="U14" i="13"/>
  <c r="V13" i="13"/>
  <c r="D28" i="13"/>
  <c r="V4" i="13"/>
  <c r="W11" i="13"/>
  <c r="X10" i="13" l="1"/>
  <c r="D21" i="14" s="1"/>
  <c r="L143" i="13"/>
  <c r="K143" i="13"/>
  <c r="E143" i="13" s="1"/>
  <c r="K148" i="13"/>
  <c r="E148" i="13" s="1"/>
  <c r="L148" i="13"/>
  <c r="U23" i="13"/>
  <c r="X4" i="13"/>
  <c r="D15" i="14" s="1"/>
  <c r="V23" i="13"/>
  <c r="E13" i="14"/>
  <c r="Y2" i="13"/>
  <c r="Y23" i="13"/>
  <c r="E33" i="14" s="1"/>
  <c r="E18" i="14"/>
  <c r="Y7" i="13"/>
  <c r="F18" i="14" s="1"/>
  <c r="E16" i="14"/>
  <c r="Y5" i="13"/>
  <c r="F16" i="14" s="1"/>
  <c r="E24" i="14"/>
  <c r="Y13" i="13"/>
  <c r="F24" i="14" s="1"/>
  <c r="E23" i="14"/>
  <c r="Y12" i="13"/>
  <c r="F23" i="14" s="1"/>
  <c r="E22" i="14"/>
  <c r="Y11" i="13"/>
  <c r="F22" i="14" s="1"/>
  <c r="Y8" i="13"/>
  <c r="F19" i="14" s="1"/>
  <c r="E19" i="14"/>
  <c r="E15" i="14"/>
  <c r="Y3" i="13"/>
  <c r="F14" i="14" s="1"/>
  <c r="E14" i="14"/>
  <c r="E25" i="14"/>
  <c r="Y14" i="13"/>
  <c r="F25" i="14" s="1"/>
  <c r="Y9" i="13"/>
  <c r="F20" i="14" s="1"/>
  <c r="E20" i="14"/>
  <c r="E17" i="14"/>
  <c r="Y6" i="13"/>
  <c r="F17" i="14" s="1"/>
  <c r="E21" i="14"/>
  <c r="Y10" i="13" l="1"/>
  <c r="F21" i="14" s="1"/>
  <c r="Y4" i="13"/>
  <c r="F15" i="14" s="1"/>
  <c r="F13" i="14"/>
  <c r="W23" i="13" l="1"/>
  <c r="F33" i="14" s="1"/>
  <c r="D6" i="15" l="1"/>
  <c r="X23" i="13"/>
  <c r="E6" i="15" s="1"/>
  <c r="D33"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4"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0"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1"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2"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4"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0"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<sst xmlns="http://schemas.openxmlformats.org/spreadsheetml/2006/main" count="5672" uniqueCount="2735">
  <si>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</si>
  <si>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</si>
  <si>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</si>
  <si>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</si>
  <si>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</si>
  <si>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</si>
  <si>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</si>
  <si>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</si>
  <si>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</si>
  <si>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</si>
  <si>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</si>
  <si>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</si>
  <si>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</si>
  <si>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</si>
  <si>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</si>
  <si>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</si>
  <si>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Will data regulated by PCI DSS reside in the vended product?</t>
  </si>
  <si>
    <t>Yes</t>
  </si>
  <si>
    <t>Documentation</t>
  </si>
  <si>
    <t>Have you undergone a SSAE 16 audit?</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</si>
  <si>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</si>
  <si>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</si>
  <si>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</si>
  <si>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</si>
  <si>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How long are data backups stored?</t>
  </si>
  <si>
    <t>Will you handle data in a FERPA compliant manner?</t>
  </si>
  <si>
    <t>Does the database support encryption of specified data elements in storage?</t>
  </si>
  <si>
    <t>Do any of your servers reside in a co-located data center?</t>
  </si>
  <si>
    <t>Are your servers separated from other companies via a physical barrier, such as a cage or hardened walls?</t>
  </si>
  <si>
    <t>Are your primary and secondary data centers geographically diverse?</t>
  </si>
  <si>
    <t>Select the option that best describes the network segment that servers are connected to.</t>
  </si>
  <si>
    <t>Other</t>
  </si>
  <si>
    <t xml:space="preserve">Does the system provide data input validation and error messages? </t>
  </si>
  <si>
    <t>Are you utilizing a web application firewall (WAF)?</t>
  </si>
  <si>
    <t>Are you utilizing a stateful packet inspection (SPI) firewall?</t>
  </si>
  <si>
    <t>Can you enforce password/passphrase aging requirements?</t>
  </si>
  <si>
    <t>Are user account passwords/passphrases visible in administration modules?</t>
  </si>
  <si>
    <t>Are user account passwords/passphrases stored encrypted?</t>
  </si>
  <si>
    <t>Are individuals required to sign in/out for installation and removal of equipment?</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</si>
  <si>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</si>
  <si>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</si>
  <si>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</si>
  <si>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</si>
  <si>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</si>
  <si>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</si>
  <si>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</si>
  <si>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 xml:space="preserve">Do you require new employees to fill out agreements and review policies?  </t>
  </si>
  <si>
    <t>Do you have an information security awareness program?</t>
  </si>
  <si>
    <t>Do you incorporate customer feedback into security feature requests?</t>
  </si>
  <si>
    <r>
      <t xml:space="preserve">Are your </t>
    </r>
    <r>
      <rPr>
        <i/>
        <sz val="11"/>
        <color theme="1"/>
        <rFont val="Verdana"/>
        <family val="2"/>
      </rPr>
      <t>applications</t>
    </r>
    <r>
      <rPr>
        <sz val="11"/>
        <color theme="1"/>
        <rFont val="Verdana"/>
        <family val="2"/>
      </rPr>
      <t xml:space="preserve"> scanned externally for vulnerabilities?</t>
    </r>
  </si>
  <si>
    <t>Are your applications scanned for vulnerabilities prior to new releases?</t>
  </si>
  <si>
    <r>
      <t xml:space="preserve">Are your </t>
    </r>
    <r>
      <rPr>
        <i/>
        <sz val="11"/>
        <color theme="1"/>
        <rFont val="Verdana"/>
        <family val="2"/>
      </rPr>
      <t>systems</t>
    </r>
    <r>
      <rPr>
        <sz val="11"/>
        <color theme="1"/>
        <rFont val="Verdana"/>
        <family val="2"/>
      </rPr>
      <t xml:space="preserve"> scanned externally for vulnerabilities?</t>
    </r>
  </si>
  <si>
    <t>On which mobile operating systems is your software or service supported?</t>
  </si>
  <si>
    <t>Is the application available from a trusted source (e.g., iTunes App Store, Android Market, BB World)?</t>
  </si>
  <si>
    <t>Does the application store, process, or transmit critical data?</t>
  </si>
  <si>
    <t>Does the mobile application support Kerberos, CAS, or Active Directory authentication?</t>
  </si>
  <si>
    <t>Has the application been tested for vulnerabilities by a third party?</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</si>
  <si>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</si>
  <si>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</si>
  <si>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</si>
  <si>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</si>
  <si>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</si>
  <si>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</si>
  <si>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</si>
  <si>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</si>
  <si>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</si>
  <si>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</si>
  <si>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</si>
  <si>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</si>
  <si>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</si>
  <si>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</si>
  <si>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</si>
  <si>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</si>
  <si>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</si>
  <si>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</si>
  <si>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</si>
  <si>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</si>
  <si>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</si>
  <si>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</si>
  <si>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</si>
  <si>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</si>
  <si>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</si>
  <si>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</si>
  <si>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</si>
  <si>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</si>
  <si>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</si>
  <si>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</si>
  <si>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</si>
  <si>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</si>
  <si>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</si>
  <si>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</si>
  <si>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</si>
  <si>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</si>
  <si>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</si>
  <si>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</si>
  <si>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the system operate in a mixed authentication mode (i.e. external and local authentication)?</t>
  </si>
  <si>
    <t>Does your product process protected health information (PHI) or any data covered by the Health Insurance Portability and Accountability Act?</t>
  </si>
  <si>
    <t>HEISC Shared Assessments Working Group</t>
  </si>
  <si>
    <t>Assessment Contact</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</si>
  <si>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</si>
  <si>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</si>
  <si>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</si>
  <si>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 xml:space="preserve">Do you have a documented and currently followed change management process (CMP)? </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</si>
  <si>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</si>
  <si>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</si>
  <si>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</si>
  <si>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Are backup copies made according to pre-defined schedules and securely stored and protected?</t>
  </si>
  <si>
    <t>Is media used for long-term retention of business data and archival purposes stored in a secure, environmentally protected area?</t>
  </si>
  <si>
    <t>Do procedures exist to ensure that retention and destruction of data meets established business and regulatory requirements?</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</si>
  <si>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</si>
  <si>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</si>
  <si>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</si>
  <si>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</si>
  <si>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Identify the most current version of the software. Detail the percentage of live customers that are utilizing the proposed version of the software as well as each version of the software currently in use.</t>
  </si>
  <si>
    <t xml:space="preserve">Can your system take advantage of mobile and/or GPS enabled mobile devices?  </t>
  </si>
  <si>
    <t>Do the documented test results identify your organizations actual recovery time capabilities for technology and facilities?</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</si>
  <si>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</si>
  <si>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</si>
  <si>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</si>
  <si>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</si>
  <si>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</si>
  <si>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</si>
  <si>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</si>
  <si>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</si>
  <si>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</si>
  <si>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</si>
  <si>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</si>
  <si>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</si>
  <si>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Does your organization conduct an annual test of relocating to this alternate site for business recovery purposes?</t>
  </si>
  <si>
    <t>Briefly describe your security organization. Include the responsible party for your information security program and the size of your security staff?</t>
  </si>
  <si>
    <t>Do you employ host-based intrusion detection?</t>
  </si>
  <si>
    <t>Do you employ host-based intrusion prevention?</t>
  </si>
  <si>
    <t>Have you completed the Cloud Security Alliance (CSA) self assessment or CAIQ?</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</si>
  <si>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</si>
  <si>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</si>
  <si>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</si>
  <si>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</si>
  <si>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</si>
  <si>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</si>
  <si>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</si>
  <si>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Do you have an incident response process and reporting in place to investigate any potential incidents and report actual incidents?</t>
  </si>
  <si>
    <t>Do you have a plan to comply with the Breach Notification requirements if there is a breach of data?</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</si>
  <si>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</si>
  <si>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</si>
  <si>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</si>
  <si>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</si>
  <si>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</si>
  <si>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</si>
  <si>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</si>
  <si>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</si>
  <si>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</si>
  <si>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</si>
  <si>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</si>
  <si>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</si>
  <si>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Do you have a program to keep your customers abreast of higher education and/or industry issues?</t>
  </si>
  <si>
    <t>Company Overview</t>
  </si>
  <si>
    <t>Describe your organization’s business background and ownership structure, including all parent and subsidiary relationships.</t>
  </si>
  <si>
    <t>Please explain in detail any involvement in business-related litigation in the last five years by your organization, its management, or the staff that will be providing the administrative services.</t>
  </si>
  <si>
    <t>Describe how long your organization has conducted business in this product area.</t>
  </si>
  <si>
    <t>Do you have a Business Continuity Plan (BCP)?</t>
  </si>
  <si>
    <t>Do you have a Disaster Recovery Plan (DRP)?</t>
  </si>
  <si>
    <t>Provide a general summary of your Quality Assurance program.</t>
  </si>
  <si>
    <t>Are video monitoring feeds retained?</t>
  </si>
  <si>
    <t>v0.7</t>
  </si>
  <si>
    <t>Completed base formulas for all Guidance fields. Changed Qualifer formatting to make questions readable (and optional).</t>
  </si>
  <si>
    <t>v0.8</t>
  </si>
  <si>
    <t>Are systems that support this service managed via a separate management network?</t>
  </si>
  <si>
    <t>Are employee mobile devices managed by your company's Mobile Device Management (MDM) platform?</t>
  </si>
  <si>
    <t>Provide a general summary of your systems management and configuration strategy, including servers, appliances, and mobile devices (company and employee owned).</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</si>
  <si>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</si>
  <si>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</si>
  <si>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</si>
  <si>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</si>
  <si>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</si>
  <si>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</si>
  <si>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</si>
  <si>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</si>
  <si>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</si>
  <si>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</si>
  <si>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</si>
  <si>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</si>
  <si>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</si>
  <si>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</si>
  <si>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</si>
  <si>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</si>
  <si>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</si>
  <si>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</si>
  <si>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</si>
  <si>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COMP-06</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</si>
  <si>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</si>
  <si>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</si>
  <si>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</si>
  <si>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</si>
  <si>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</si>
  <si>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</si>
  <si>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</si>
  <si>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</si>
  <si>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</si>
  <si>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</si>
  <si>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</si>
  <si>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</si>
  <si>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</si>
  <si>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</si>
  <si>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</si>
  <si>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</si>
  <si>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</si>
  <si>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</si>
  <si>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</si>
  <si>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</si>
  <si>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</si>
  <si>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</si>
  <si>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APPL-12</t>
  </si>
  <si>
    <t>APPL-13</t>
  </si>
  <si>
    <t>APPL-14</t>
  </si>
  <si>
    <t>APPL-16</t>
  </si>
  <si>
    <t>APPL-17</t>
  </si>
  <si>
    <t>APPL-18</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</si>
  <si>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</si>
  <si>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</si>
  <si>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</si>
  <si>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</si>
  <si>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</si>
  <si>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</si>
  <si>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</si>
  <si>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</si>
  <si>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</si>
  <si>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</si>
  <si>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</si>
  <si>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</si>
  <si>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</si>
  <si>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</si>
  <si>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</si>
  <si>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</si>
  <si>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</si>
  <si>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</si>
  <si>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</si>
  <si>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</si>
  <si>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</si>
  <si>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</si>
  <si>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</si>
  <si>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</si>
  <si>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</si>
  <si>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</si>
  <si>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</si>
  <si>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BCPL-11</t>
  </si>
  <si>
    <t>BCPL-12</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</si>
  <si>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</si>
  <si>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</si>
  <si>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</si>
  <si>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</si>
  <si>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</si>
  <si>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</si>
  <si>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</si>
  <si>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</si>
  <si>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</si>
  <si>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</si>
  <si>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</si>
  <si>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</si>
  <si>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</si>
  <si>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</si>
  <si>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</si>
  <si>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</si>
  <si>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</si>
  <si>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</si>
  <si>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</si>
  <si>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</si>
  <si>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</si>
  <si>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</si>
  <si>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</si>
  <si>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</si>
  <si>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</si>
  <si>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</si>
  <si>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</si>
  <si>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</si>
  <si>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</si>
  <si>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</si>
  <si>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</si>
  <si>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</si>
  <si>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</si>
  <si>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</si>
  <si>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</si>
  <si>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</si>
  <si>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</si>
  <si>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</si>
  <si>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</si>
  <si>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DATA-25</t>
  </si>
  <si>
    <t>DATA-26</t>
  </si>
  <si>
    <t>DATA-27</t>
  </si>
  <si>
    <t>DATA-28</t>
  </si>
  <si>
    <t>DBAS-01</t>
  </si>
  <si>
    <t>DBAS-02</t>
  </si>
  <si>
    <t>DCTR-01</t>
  </si>
  <si>
    <t>DCTR-02</t>
  </si>
  <si>
    <t>DCTR-03</t>
  </si>
  <si>
    <t>DCTR-04</t>
  </si>
  <si>
    <t>DCTR-05</t>
  </si>
  <si>
    <t>DCTR-06</t>
  </si>
  <si>
    <t>DCTR-07</t>
  </si>
  <si>
    <t>DCTR-08</t>
  </si>
  <si>
    <t>DCTR-09</t>
  </si>
  <si>
    <t>DCTR-10</t>
  </si>
  <si>
    <t>DCTR-11</t>
  </si>
  <si>
    <t>DCTR-12</t>
  </si>
  <si>
    <t>DCTR-13</t>
  </si>
  <si>
    <t>DCTR-14</t>
  </si>
  <si>
    <t>DCTR-15</t>
  </si>
  <si>
    <t>DCTR-16</t>
  </si>
  <si>
    <t>DCTR-17</t>
  </si>
  <si>
    <t>DCTR-18</t>
  </si>
  <si>
    <t>DCTR-19</t>
  </si>
  <si>
    <t>DRPL-01</t>
  </si>
  <si>
    <t>DRPL-02</t>
  </si>
  <si>
    <t>DRPL-03</t>
  </si>
  <si>
    <t>DRPL-04</t>
  </si>
  <si>
    <t>DRPL-05</t>
  </si>
  <si>
    <t>DRPL-06</t>
  </si>
  <si>
    <t>DRPL-07</t>
  </si>
  <si>
    <t>DRPL-08</t>
  </si>
  <si>
    <t>DRPL-09</t>
  </si>
  <si>
    <t>DRPL-10</t>
  </si>
  <si>
    <t>DRPL-11</t>
  </si>
  <si>
    <t>DRPL-12</t>
  </si>
  <si>
    <t>DRPL-13</t>
  </si>
  <si>
    <t>FIDP-01</t>
  </si>
  <si>
    <t>FIDP-02</t>
  </si>
  <si>
    <t>FIDP-03</t>
  </si>
  <si>
    <t>FIDP-04</t>
  </si>
  <si>
    <t>FIDP-05</t>
  </si>
  <si>
    <t>FIDP-06</t>
  </si>
  <si>
    <t>FIDP-07</t>
  </si>
  <si>
    <t>FIDP-08</t>
  </si>
  <si>
    <t>FIDP-09</t>
  </si>
  <si>
    <t>FIDP-10</t>
  </si>
  <si>
    <t>FIDP-11</t>
  </si>
  <si>
    <t>FIDP-12</t>
  </si>
  <si>
    <t>MAPP-01</t>
  </si>
  <si>
    <t>MAPP-02</t>
  </si>
  <si>
    <t>MAPP-03</t>
  </si>
  <si>
    <t>MAPP-04</t>
  </si>
  <si>
    <t>MAPP-05</t>
  </si>
  <si>
    <t>MAPP-06</t>
  </si>
  <si>
    <t>MAPP-07</t>
  </si>
  <si>
    <t>MAPP-08</t>
  </si>
  <si>
    <t>MAPP-09</t>
  </si>
  <si>
    <t>MAPP-10</t>
  </si>
  <si>
    <t>PHYS-01</t>
  </si>
  <si>
    <t>PHYS-02</t>
  </si>
  <si>
    <t>PHYS-03</t>
  </si>
  <si>
    <t>PHYS-04</t>
  </si>
  <si>
    <t>PHYS-05</t>
  </si>
  <si>
    <t>PPPR-01</t>
  </si>
  <si>
    <t>PPPR-02</t>
  </si>
  <si>
    <t>PPPR-03</t>
  </si>
  <si>
    <t>PPPR-04</t>
  </si>
  <si>
    <t>PPPR-05</t>
  </si>
  <si>
    <t>PPPR-06</t>
  </si>
  <si>
    <t>PPPR-07</t>
  </si>
  <si>
    <t>PPPR-08</t>
  </si>
  <si>
    <t>PPPR-09</t>
  </si>
  <si>
    <t>PPPR-10</t>
  </si>
  <si>
    <t>PPPR-11</t>
  </si>
  <si>
    <t>PPPR-12</t>
  </si>
  <si>
    <t>PPPR-13</t>
  </si>
  <si>
    <t>PPPR-14</t>
  </si>
  <si>
    <t>PPPR-15</t>
  </si>
  <si>
    <t>PPPR-16</t>
  </si>
  <si>
    <t>PPPR-17</t>
  </si>
  <si>
    <t>PPPR-18</t>
  </si>
  <si>
    <t>PPPR-19</t>
  </si>
  <si>
    <t>PPPR-20</t>
  </si>
  <si>
    <t>PROD-01</t>
  </si>
  <si>
    <t>PROD-02</t>
  </si>
  <si>
    <t>QLAS-01</t>
  </si>
  <si>
    <t>QLAS-02</t>
  </si>
  <si>
    <t>QLAS-03</t>
  </si>
  <si>
    <t>QLAS-04</t>
  </si>
  <si>
    <t>QLAS-05</t>
  </si>
  <si>
    <t>SYST-01</t>
  </si>
  <si>
    <t>SYST-02</t>
  </si>
  <si>
    <t>SYST-03</t>
  </si>
  <si>
    <t>SYST-04</t>
  </si>
  <si>
    <t>VULN-01</t>
  </si>
  <si>
    <t>VULN-02</t>
  </si>
  <si>
    <t>VULN-03</t>
  </si>
  <si>
    <t>VULN-04</t>
  </si>
  <si>
    <t>VULN-05</t>
  </si>
  <si>
    <t>VULN-06</t>
  </si>
  <si>
    <t>VULN-07</t>
  </si>
  <si>
    <t>VULN-08</t>
  </si>
  <si>
    <t>VULN-09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</si>
  <si>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</si>
  <si>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</si>
  <si>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</si>
  <si>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</si>
  <si>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</si>
  <si>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</si>
  <si>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</si>
  <si>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</si>
  <si>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</si>
  <si>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</si>
  <si>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</si>
  <si>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</si>
  <si>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</si>
  <si>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</si>
  <si>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</si>
  <si>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</si>
  <si>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</si>
  <si>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</si>
  <si>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</si>
  <si>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</si>
  <si>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</si>
  <si>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</si>
  <si>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</si>
  <si>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</si>
  <si>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</si>
  <si>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</si>
  <si>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</si>
  <si>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</si>
  <si>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</si>
  <si>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HIPA-30</t>
  </si>
  <si>
    <t>HIPA-31</t>
  </si>
  <si>
    <t>PCID-01</t>
  </si>
  <si>
    <t>PCID-02</t>
  </si>
  <si>
    <t>PCID-03</t>
  </si>
  <si>
    <t>PCID-04</t>
  </si>
  <si>
    <t>PCID-05</t>
  </si>
  <si>
    <t>PCID-06</t>
  </si>
  <si>
    <t>PCID-07</t>
  </si>
  <si>
    <t>PCID-08</t>
  </si>
  <si>
    <t>PCID-09</t>
  </si>
  <si>
    <t>PCID-10</t>
  </si>
  <si>
    <t>PCID-11</t>
  </si>
  <si>
    <t>PCID-12</t>
  </si>
  <si>
    <t>DATE-01</t>
  </si>
  <si>
    <t>v0.91</t>
  </si>
  <si>
    <t>v0.92</t>
  </si>
  <si>
    <t>THRD-04</t>
  </si>
  <si>
    <t>COMP-07</t>
  </si>
  <si>
    <t>GNRL-01</t>
  </si>
  <si>
    <t>GNRL-02</t>
  </si>
  <si>
    <t>GNRL-03</t>
  </si>
  <si>
    <t>GNRL-04</t>
  </si>
  <si>
    <t>GNRL-05</t>
  </si>
  <si>
    <t>GNRL-06</t>
  </si>
  <si>
    <t>GNRL-07</t>
  </si>
  <si>
    <t>GNRL-08</t>
  </si>
  <si>
    <t>GNRL-09</t>
  </si>
  <si>
    <t>GNRL-10</t>
  </si>
  <si>
    <t>Describe or provide references to your third party management strategy or provide additional information that may help analysts better understand your environment and how it relates to third-party solutions.</t>
  </si>
  <si>
    <t xml:space="preserve">Describe or provide a reference to additional software/products necessary to implement a functional system on either the backend or user-interface side of the system. </t>
  </si>
  <si>
    <t xml:space="preserve">Describe or provide a reference to the overall system and/or application architecture(s), including appropriate diagrams. Include a full description of the data communications architecture for all components of the system. </t>
  </si>
  <si>
    <t xml:space="preserve">Describe or provide a reference to all web-enabled features and functionality of the system (i.e. accessed via a web-based interface). </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</si>
  <si>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</si>
  <si>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</si>
  <si>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 xml:space="preserve">Describe or provide a reference to the backup processes for the servers on which the service and/or data resides. </t>
  </si>
  <si>
    <t>Describe or provide a reference to your cryptographic key management process (generation, exchange, storage, safeguards, use, vetting, and replacement) of all system components (e.g. database, system, web, etc.).</t>
  </si>
  <si>
    <t>Describe or provide a reference to the tool(s) used to scan for vulnerabilities in your applications and systems.</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</si>
  <si>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</si>
  <si>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</si>
  <si>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</si>
  <si>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Do you employ or allow any cryptographic modules that do not conform to the Federal Information Processing Standards (FIPS PUB 140-2)?</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</si>
  <si>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</si>
  <si>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</si>
  <si>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</si>
  <si>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</si>
  <si>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</si>
  <si>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</si>
  <si>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</si>
  <si>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</si>
  <si>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</si>
  <si>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</si>
  <si>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v0.94</t>
  </si>
  <si>
    <t>Added Instructions tab, adjusted question ID background color, updated DRP/BCP copy error.</t>
  </si>
  <si>
    <t>Higher Education Cloud Vendor Assessment Tool</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</si>
  <si>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</si>
  <si>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</si>
  <si>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</si>
  <si>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</si>
  <si>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</si>
  <si>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</si>
  <si>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</si>
  <si>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</si>
  <si>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Describe or provide a reference to the types of authentication, including standards-based single-sign-on (SSO, InCommon), that are supported by the web-based interface?</t>
  </si>
  <si>
    <t>Is sensitive data encrypted in storage (e.g. disk encryption, at-rest)?</t>
  </si>
  <si>
    <t>Do you carry cyber-risk insurance to protect against unforeseen service outages, data that is lost or stolen, and security incidents?</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</si>
  <si>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</si>
  <si>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</si>
  <si>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</si>
  <si>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</si>
  <si>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</si>
  <si>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</si>
  <si>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</si>
  <si>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</si>
  <si>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</si>
  <si>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</si>
  <si>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</si>
  <si>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</si>
  <si>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</si>
  <si>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</si>
  <si>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</si>
  <si>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</si>
  <si>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</si>
  <si>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</si>
  <si>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</si>
  <si>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</si>
  <si>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</si>
  <si>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</si>
  <si>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</si>
  <si>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</si>
  <si>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</si>
  <si>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</si>
  <si>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</si>
  <si>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references explaining how tertiary services are redundant (i.e. DNS, ISP, etc…).</t>
  </si>
  <si>
    <t>Are databases used in the system segregated from front-end systems? (e.g. web and application servers)</t>
  </si>
  <si>
    <t>Describe or provide a reference that details how administrator access is handled (e.g. provisioning, principle of least privilege, deprovisioning,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</si>
  <si>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</si>
  <si>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the hosting provider have a SOC 2 Type 2 report available?</t>
  </si>
  <si>
    <t>Describe or provide a reference to how your disaster recovery plan is tested? (i.e. scope of DR tests, end-to-end testing, etc.)</t>
  </si>
  <si>
    <t>State and describe who has the authority to change firewall rules?</t>
  </si>
  <si>
    <t>Do you have a documented policy for firewall change requests?</t>
  </si>
  <si>
    <t>Describe or provide a reference to the application's architecture and functionality.</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</si>
  <si>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</si>
  <si>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</si>
  <si>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</si>
  <si>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</si>
  <si>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</si>
  <si>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Added tertiary services narrative question (DNS, ISP, etc…).</t>
  </si>
  <si>
    <t>Is your company a consulting firm providing only consultation to the Institution?</t>
  </si>
  <si>
    <t>Provide a brief description for why each of these third parties will have access to institution data.</t>
  </si>
  <si>
    <t>Have you or any third party you contract with that may have access or allow access to the institution's data experienced a breach?</t>
  </si>
  <si>
    <t>Can you enforce password/passphrase complexity requirements [provided by the institution]?</t>
  </si>
  <si>
    <t>Will any external authentication or authorization system be utilized by an application with access to the institution's data?</t>
  </si>
  <si>
    <t>Will any external authentication or authorization system be utilized by a system with access to institution data?</t>
  </si>
  <si>
    <t>List all locations (i.e. city + datacenter name) where the institution's data will be stored?</t>
  </si>
  <si>
    <t>At the completion of this contract, will data be returned to the institution?</t>
  </si>
  <si>
    <t>Can the institution extract a full backup of data?</t>
  </si>
  <si>
    <t>Is any institution data visible in system administration modules/tools?</t>
  </si>
  <si>
    <t xml:space="preserve">Is redundant power available for all datacenters where institution data will reside? </t>
  </si>
  <si>
    <t>Describe or provide a reference to the availability of cooling and fire suppression systems in all datacenters where institution data will reside.</t>
  </si>
  <si>
    <t>Describe or provide a reference to physical safeguards that are placed on facilities housing the institution's data (e.g., video monitoring, restricted access areas, man traps, card access controls, etc.)?</t>
  </si>
  <si>
    <t>Can you provide an evaluation site to the institution for testing?</t>
  </si>
  <si>
    <t>Have you supplied products and/or services to the Institution (or its Campuses) in the last five years?</t>
  </si>
  <si>
    <t>Will you allow the institution to perform its own security testing of your systems and/or application provided that testing is performed at a mutually agreed upon time and date?</t>
  </si>
  <si>
    <t>If the application is institution-hosted, can all service level and administrative account passwords be changed by the institution?</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</si>
  <si>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Cloud Vendor Assessment Tool (HECVAT) to the Institution according to institutional procedures.</t>
    </r>
  </si>
  <si>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</si>
  <si>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</si>
  <si>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</si>
  <si>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</si>
  <si>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</si>
  <si>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</si>
  <si>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</si>
  <si>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</si>
  <si>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</si>
  <si>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APPL-15</t>
  </si>
  <si>
    <t>Are audit logs available that include AT LEAST all of the following; login, logout, actions performed, and source IP address?</t>
  </si>
  <si>
    <t>Describe or provide a reference to your Business Continuity Plan (BCP).</t>
  </si>
  <si>
    <t xml:space="preserve">Are all components of the BCP reviewed at least annually and updated as needed to reflect change? </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</si>
  <si>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</si>
  <si>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</si>
  <si>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</si>
  <si>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</si>
  <si>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Does your company own the physical data center where the Institution's data will reside?</t>
  </si>
  <si>
    <t>Are the data centers staffed 24 hours a day, seven days a week (i.e 24x7x365)?</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</si>
  <si>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</si>
  <si>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</si>
  <si>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</si>
  <si>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</si>
  <si>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 xml:space="preserve">Are all components of the DRP reviewed at least annually and updated as needed to reflect change? </t>
  </si>
  <si>
    <t>Will any of these systems be implemented on systems hosting the Institution's data?</t>
  </si>
  <si>
    <t>MAPP-11</t>
  </si>
  <si>
    <t>Are employees allowed to take home Institution's data in any form?</t>
  </si>
  <si>
    <t>Will you comply with the Institution's IT policies with regards to user privacy and data protection?</t>
  </si>
  <si>
    <t>Do you have an implemented system configuration management process? (e.g. secure "gold" images, etc.)</t>
  </si>
  <si>
    <t>Do you currently use encryption in your database(s)?</t>
  </si>
  <si>
    <t>What operating system(s) is/are leveraged by the system(s)/application(s) that will have access to institution's data?</t>
  </si>
  <si>
    <r>
      <t xml:space="preserve">In order to protect the Institution and its systems, vendors whose products and/or services will access and/or host institutional data must complete the Higher Education Cloud Vendor Assessment Tool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</si>
  <si>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Higher Education Cloud Vendor Assessment Tool - Standards Crosswalk</t>
  </si>
  <si>
    <t>CIS Critical Security Controls v6.1</t>
  </si>
  <si>
    <t>HIPAA</t>
  </si>
  <si>
    <t>NIST SP 800-53r4</t>
  </si>
  <si>
    <t>NIST SP 800-171r1</t>
  </si>
  <si>
    <t>NIST Cybersecurity Framework</t>
  </si>
  <si>
    <t>Does the vended product host/support a mobile application? (e.g. app)</t>
  </si>
  <si>
    <t>Will institution data be shared with or hosted by any third parties? (e.g. any entity not wholly-owned by your company is considered a third-party)</t>
  </si>
  <si>
    <t>CSC 13</t>
  </si>
  <si>
    <t>CSC 18</t>
  </si>
  <si>
    <t>CSC 10</t>
  </si>
  <si>
    <t>CSC 14</t>
  </si>
  <si>
    <t>CSC16</t>
  </si>
  <si>
    <t>CSC 12</t>
  </si>
  <si>
    <t>CSC 2</t>
  </si>
  <si>
    <t>CSC 7</t>
  </si>
  <si>
    <t>CSC 5</t>
  </si>
  <si>
    <t>CSC 16</t>
  </si>
  <si>
    <t>CSC 2, CSC 3</t>
  </si>
  <si>
    <t>CSC 6</t>
  </si>
  <si>
    <t>CSC 1</t>
  </si>
  <si>
    <t>CAC 13</t>
  </si>
  <si>
    <t>CSC 13, CSC 14</t>
  </si>
  <si>
    <t>CSC 3</t>
  </si>
  <si>
    <t>CSC 9</t>
  </si>
  <si>
    <t>CSC 3, CSC 14</t>
  </si>
  <si>
    <t>CSC 10, CSC 12</t>
  </si>
  <si>
    <t>CSC 19</t>
  </si>
  <si>
    <t>CSC 6, CSC 19</t>
  </si>
  <si>
    <t>CSC 13, CSC 18</t>
  </si>
  <si>
    <t>CSC 4</t>
  </si>
  <si>
    <t>CSC 17</t>
  </si>
  <si>
    <t>CSC 4, CSC 17</t>
  </si>
  <si>
    <t>CSC 20</t>
  </si>
  <si>
    <t>CSC 7, CSC 18</t>
  </si>
  <si>
    <t>CSC 16, 5</t>
  </si>
  <si>
    <t>CSC 6, CSC 16</t>
  </si>
  <si>
    <t>CSC 1, CSC 2</t>
  </si>
  <si>
    <t>CSC 12, CSC 13</t>
  </si>
  <si>
    <t>§164.308(a)(1)(i)</t>
  </si>
  <si>
    <t>§164.308(a)(1)(ii)(B)</t>
  </si>
  <si>
    <t>§164.308(a)(5)(i)</t>
  </si>
  <si>
    <t>§164.316(b)(2)(iii)</t>
  </si>
  <si>
    <t>§164.308(a)(2)</t>
  </si>
  <si>
    <t>§164.308(a)(6)(i)</t>
  </si>
  <si>
    <t>§164.308(a)(5)(ii)(D)</t>
  </si>
  <si>
    <t>§ 164.308(a)(1)(ii)(D)</t>
  </si>
  <si>
    <t>§164.312(b)</t>
  </si>
  <si>
    <t>§164.312(a)(2)(ii)</t>
  </si>
  <si>
    <t>§164.308(a)(7)(i)</t>
  </si>
  <si>
    <t>§164.308(b)(2)</t>
  </si>
  <si>
    <t>§164.308(a)(1)(i), §164.308(a)(1)(ii)(A)</t>
  </si>
  <si>
    <t>§164.308(a)(4), §164.312(a)(2)(ii),  
§164.312(a)(2)(iii)</t>
  </si>
  <si>
    <t>§164.308(a)(4),
§164.312(a)(2)(ii), §164.312(a)(2)(iii)</t>
  </si>
  <si>
    <t>§164.308(b)(1),
§164.308(b)(3), §164.314(a)(1)(i)</t>
  </si>
  <si>
    <t>Discovery</t>
  </si>
  <si>
    <t>18.1.1</t>
  </si>
  <si>
    <t>17.1.2</t>
  </si>
  <si>
    <t>15.2.1</t>
  </si>
  <si>
    <t>18.1.4</t>
  </si>
  <si>
    <t>15.2.2</t>
  </si>
  <si>
    <t>14.2.1</t>
  </si>
  <si>
    <t>15.1.3</t>
  </si>
  <si>
    <t>9.1.2</t>
  </si>
  <si>
    <t>9.2.6</t>
  </si>
  <si>
    <t>11.2.6</t>
  </si>
  <si>
    <t>9.2.2</t>
  </si>
  <si>
    <t>9.1.1</t>
  </si>
  <si>
    <t>12.5.1</t>
  </si>
  <si>
    <t>12.1.1</t>
  </si>
  <si>
    <t>12.1.4</t>
  </si>
  <si>
    <t>14.2.5</t>
  </si>
  <si>
    <t>9.2.3, 12.1.4</t>
  </si>
  <si>
    <t>9.4.3</t>
  </si>
  <si>
    <t>12.4</t>
  </si>
  <si>
    <t>9.2.3, 9.3.1, 9.4.3</t>
  </si>
  <si>
    <t>9.1.1, 9.2.3, 9.3.1, 9.4.3</t>
  </si>
  <si>
    <t>9</t>
  </si>
  <si>
    <t>10</t>
  </si>
  <si>
    <t>13</t>
  </si>
  <si>
    <t>17.1.1</t>
  </si>
  <si>
    <t>17.1.3</t>
  </si>
  <si>
    <t>17.2.1</t>
  </si>
  <si>
    <t>17</t>
  </si>
  <si>
    <t>7.2.2, 16.1.1, 17.1.3</t>
  </si>
  <si>
    <t>7.2.2, 17.1.3</t>
  </si>
  <si>
    <t>12.1.2</t>
  </si>
  <si>
    <t>12.6.1</t>
  </si>
  <si>
    <t>8.2.1</t>
  </si>
  <si>
    <t>10.1.1</t>
  </si>
  <si>
    <t>8.2.3, 10.1.1</t>
  </si>
  <si>
    <t>8.1.4</t>
  </si>
  <si>
    <t>12.3.1</t>
  </si>
  <si>
    <t>8.1.2</t>
  </si>
  <si>
    <t>10.1.2</t>
  </si>
  <si>
    <t>8.3.1</t>
  </si>
  <si>
    <t>13.2</t>
  </si>
  <si>
    <t>8.3.1, 18.1.1</t>
  </si>
  <si>
    <t>11.1.1</t>
  </si>
  <si>
    <t>13.1.2</t>
  </si>
  <si>
    <t>11.2.1</t>
  </si>
  <si>
    <t>11.1.4</t>
  </si>
  <si>
    <t>11.1.1, 11.1.2</t>
  </si>
  <si>
    <t>7.1.3</t>
  </si>
  <si>
    <t>16.1.1, 17.1.1</t>
  </si>
  <si>
    <t>13.1.1</t>
  </si>
  <si>
    <t>12.4.1</t>
  </si>
  <si>
    <t>8.2.1; 8.2.3</t>
  </si>
  <si>
    <t>8.2.3</t>
  </si>
  <si>
    <t>9.4.2</t>
  </si>
  <si>
    <t>12.7.1, 18.2.1</t>
  </si>
  <si>
    <t>11.1.2</t>
  </si>
  <si>
    <t>11.1.2, 11.1.3</t>
  </si>
  <si>
    <t>11.1.2,  11.1.3</t>
  </si>
  <si>
    <t>5.1.1</t>
  </si>
  <si>
    <t>14.2.8</t>
  </si>
  <si>
    <t>16.1.5</t>
  </si>
  <si>
    <t>7.1.1</t>
  </si>
  <si>
    <t>7.1.2</t>
  </si>
  <si>
    <t>7.2.2</t>
  </si>
  <si>
    <t>9.2.5</t>
  </si>
  <si>
    <t>12.7.1</t>
  </si>
  <si>
    <t>10.1.1, 18.1.5</t>
  </si>
  <si>
    <t>14.2.1, 14.2.5, 14.2.8</t>
  </si>
  <si>
    <t>6.2.1</t>
  </si>
  <si>
    <t>18.2.1</t>
  </si>
  <si>
    <t>16.1.1</t>
  </si>
  <si>
    <t>9.2.3</t>
  </si>
  <si>
    <t>18.1.1, 7.2.2</t>
  </si>
  <si>
    <t>16.1.2, 16.1.5, 18.1.1</t>
  </si>
  <si>
    <t>§164.308(a)(6)(ii)</t>
  </si>
  <si>
    <t>§164.308(a)(4),
§164.312(a)(1), §164.312(a)(2)(i), 
§164.312(d)</t>
  </si>
  <si>
    <t>§164.308(a)(4), 
§164.312(a)(1), §164.312(a)(2)(i),
§164.312(d)</t>
  </si>
  <si>
    <t>§164.308(a)(4), 
§164.312(a)(1), §164.312(a)(2)(i), 
§164.312(d)</t>
  </si>
  <si>
    <t>§164.308(a)(3)(i), §164.308(b)(1), 
§164.308(b)(3), §164.314(a)(1)(i)</t>
  </si>
  <si>
    <t>§164.308(a)(4), 
§164.312(a)(1)</t>
  </si>
  <si>
    <t>§164.308(a)(4), 
§164.312(d)</t>
  </si>
  <si>
    <t>ID.GV-3</t>
  </si>
  <si>
    <t>ID.AM-6, PR.AT-3</t>
  </si>
  <si>
    <t>PR.IP-9</t>
  </si>
  <si>
    <t>3.8.2</t>
  </si>
  <si>
    <t>3.1.2, 3.1.3</t>
  </si>
  <si>
    <t>3.1.2</t>
  </si>
  <si>
    <t>3.1.2, 3.1.19, 3.8.2</t>
  </si>
  <si>
    <t>3.1.1, 3.1.2, 3.1.7</t>
  </si>
  <si>
    <t>3.4.9</t>
  </si>
  <si>
    <t>3.1.12, 3.1.13, 3.1.14, 3.1.14, 3.1.15, 3.1.8, 3.1.20, 3.7.5, 3.8.2, 3.13.7</t>
  </si>
  <si>
    <t>3.1.4</t>
  </si>
  <si>
    <t>3.1.1, 3.1.5, 3.1.6, 3.7.1, 3.7.2</t>
  </si>
  <si>
    <t>3.5.6</t>
  </si>
  <si>
    <t>3.5.7</t>
  </si>
  <si>
    <t>3.5.5, 3.5.8</t>
  </si>
  <si>
    <t>3.5.1</t>
  </si>
  <si>
    <t>3.5.10</t>
  </si>
  <si>
    <t>3.5.2, 3.5.3</t>
  </si>
  <si>
    <t>3.1.1</t>
  </si>
  <si>
    <t>3.1.7, 3.3.1</t>
  </si>
  <si>
    <t>3.1.7, 3.3.2, 3.3.3, 3.3.4, 3.3.5, 3.4.3, 3.7.1, 3.7.6, 3.10.4, 3.10.5</t>
  </si>
  <si>
    <t>3.3.8, 3.3.9</t>
  </si>
  <si>
    <t>3.12.2</t>
  </si>
  <si>
    <t>3.2.1, 3.2.2</t>
  </si>
  <si>
    <t>3.4.3, 3.4.4</t>
  </si>
  <si>
    <t>3.4.3, 3.4.4, 3.4.5</t>
  </si>
  <si>
    <t>3.4.4</t>
  </si>
  <si>
    <t>3.14.4</t>
  </si>
  <si>
    <t>3.1.3, 3.8.1</t>
  </si>
  <si>
    <t>3.1.22</t>
  </si>
  <si>
    <t>3.1.19, 3.8.1</t>
  </si>
  <si>
    <t>3.8.1</t>
  </si>
  <si>
    <t>3.8.9</t>
  </si>
  <si>
    <t>3.13.10</t>
  </si>
  <si>
    <t>3.8.1, 3.8.9</t>
  </si>
  <si>
    <t>3.8.1, 3.8.5, 3.8.9</t>
  </si>
  <si>
    <t>3.7.1, 3.7.2, 3.8.3</t>
  </si>
  <si>
    <t>3.7.3, 3.8.3,</t>
  </si>
  <si>
    <t>3.8.1, 3.8.2</t>
  </si>
  <si>
    <t>3.8.6, 3.13.11</t>
  </si>
  <si>
    <t>3.1.3</t>
  </si>
  <si>
    <t>3.6.2</t>
  </si>
  <si>
    <t>3.6.1, 3.14.6, 3.14.7</t>
  </si>
  <si>
    <t>3.3.1</t>
  </si>
  <si>
    <t>3.1.19</t>
  </si>
  <si>
    <t>3.8.2, 3.10.1, 3.10.2, 3.10.5, 3.10.6, 3.12.1</t>
  </si>
  <si>
    <t>3.10.2</t>
  </si>
  <si>
    <t>3.8.1, 3.8.5, 3.8.7</t>
  </si>
  <si>
    <t>3.7.3, 3.8.1, 3.8.5, 3.8.7, 3.10.3</t>
  </si>
  <si>
    <t>3.9.1, 3.9.2</t>
  </si>
  <si>
    <t>3.13.2</t>
  </si>
  <si>
    <t>3.6.1, 3.12.2</t>
  </si>
  <si>
    <t>3.6.2,</t>
  </si>
  <si>
    <t>3.9.1</t>
  </si>
  <si>
    <t>3.2.1</t>
  </si>
  <si>
    <t>3.2.1, 3.2.2, 3.2.3</t>
  </si>
  <si>
    <t>3.1.7</t>
  </si>
  <si>
    <t>3.4.1, 3.4.2, 3.4.3</t>
  </si>
  <si>
    <t>3.13.13</t>
  </si>
  <si>
    <t>3.1.18, 3.7.1, 3.13.13</t>
  </si>
  <si>
    <t>3.11.1, 3.11.2, 3.11.3</t>
  </si>
  <si>
    <t>3.11.1, 3.11.2, 3.11.3, 3.14.2</t>
  </si>
  <si>
    <t>3.2.2</t>
  </si>
  <si>
    <t>3.6.1, 3.14.1</t>
  </si>
  <si>
    <t>3.6.2, 3.12.2</t>
  </si>
  <si>
    <t>3.5.9</t>
  </si>
  <si>
    <t>3.1.8</t>
  </si>
  <si>
    <t>3.1.10, 3.1.11</t>
  </si>
  <si>
    <t>3.1.2, 3.1.5</t>
  </si>
  <si>
    <t>3.3.2</t>
  </si>
  <si>
    <t>3.6.3, 3.12.2</t>
  </si>
  <si>
    <t>ID.AM-6, PR-AT-3</t>
  </si>
  <si>
    <t>ID.AM-5</t>
  </si>
  <si>
    <t>PR.AC-4</t>
  </si>
  <si>
    <t>PR.AC-4, PR.PT-3</t>
  </si>
  <si>
    <t>PR.AC-3, PR.MA-2</t>
  </si>
  <si>
    <t>PR.PT-3</t>
  </si>
  <si>
    <t>ID.AM-2</t>
  </si>
  <si>
    <t>ID.AM-1, ID.AM-2, ID.AM-4</t>
  </si>
  <si>
    <t>PR.DS-6</t>
  </si>
  <si>
    <t>PR.AC-1</t>
  </si>
  <si>
    <t>PR.AC-1, PR.AC-4</t>
  </si>
  <si>
    <t>PR.PT-1</t>
  </si>
  <si>
    <t>PR.IP-3</t>
  </si>
  <si>
    <t>PR.IP-3, PR.DS-7</t>
  </si>
  <si>
    <t>ID.AM-3</t>
  </si>
  <si>
    <t>PR.AC-2, PR.IP-5</t>
  </si>
  <si>
    <t>PR.DS-2</t>
  </si>
  <si>
    <t>PR.DS-1</t>
  </si>
  <si>
    <t>PR.IP-4</t>
  </si>
  <si>
    <t>PR.DS-1, PR.IP-4</t>
  </si>
  <si>
    <t>ID.AM-1, ID.AM-2, PR.IP-9</t>
  </si>
  <si>
    <t>PR.DS-3</t>
  </si>
  <si>
    <t>PR.DS-3, ID.GV-3</t>
  </si>
  <si>
    <t>PR.DS-1, PR.DS-2</t>
  </si>
  <si>
    <t>PR.AC-2</t>
  </si>
  <si>
    <t>PR.AC-5</t>
  </si>
  <si>
    <t>PR.DS-4</t>
  </si>
  <si>
    <t>PR.DS-5</t>
  </si>
  <si>
    <t>DE.CM-1</t>
  </si>
  <si>
    <t>DE.CM-1, DE.CM-2, DE.CM-7</t>
  </si>
  <si>
    <t>DE.AE-1, DE.CM-1, PR.PT-4</t>
  </si>
  <si>
    <t>DE.CM-7</t>
  </si>
  <si>
    <t>DE.CM-7, PR.DS-2</t>
  </si>
  <si>
    <t>DE.CM-7, PR.DS-1</t>
  </si>
  <si>
    <t>DE.CM-7, DE.CM-8, ID.RA-1</t>
  </si>
  <si>
    <t>PR.AC-2, PR.AT-5, PR.IP-5, DE.CM-2</t>
  </si>
  <si>
    <t>PR.AC-2, PR.AC-4, PR.DS-1, PR.DS-3, PR.DS-5</t>
  </si>
  <si>
    <t>DE.CM-2</t>
  </si>
  <si>
    <t>ID.GV-2</t>
  </si>
  <si>
    <t>PR.IP-12</t>
  </si>
  <si>
    <t>DE.CM-8, RS.MI-3</t>
  </si>
  <si>
    <t>PR.DS-7</t>
  </si>
  <si>
    <t>PR.IP-2</t>
  </si>
  <si>
    <t>PR.IP-11</t>
  </si>
  <si>
    <t>PR.AT-1</t>
  </si>
  <si>
    <t>PR.PT-4</t>
  </si>
  <si>
    <t>PR.IP-1</t>
  </si>
  <si>
    <t>PR.IP-1, PR.IP-2</t>
  </si>
  <si>
    <t>DE.CM-8</t>
  </si>
  <si>
    <t>ID.RA-1, DE.CM-8, PR.IP-12</t>
  </si>
  <si>
    <t>RA-2</t>
  </si>
  <si>
    <t>IA-2, IA-3, CM-3, SI-2</t>
  </si>
  <si>
    <t>AU-7, AU-9, IR-4</t>
  </si>
  <si>
    <t>CA-5, PL-2</t>
  </si>
  <si>
    <t>SA-9</t>
  </si>
  <si>
    <t>PE-2, PE-3, PE-5, PE-11, PE-13, PE-14, SA-9</t>
  </si>
  <si>
    <t xml:space="preserve">SA-3, SA-15, SC-2, PM-2, PM-10, SI-5,PM-3 </t>
  </si>
  <si>
    <t>MP-2, RA-3</t>
  </si>
  <si>
    <t>PS-3</t>
  </si>
  <si>
    <t>PS-5</t>
  </si>
  <si>
    <t>AC-4</t>
  </si>
  <si>
    <t>MP-2</t>
  </si>
  <si>
    <t>AC-2, AC-3, AC-6</t>
  </si>
  <si>
    <t>CM-11</t>
  </si>
  <si>
    <t>AC-17; NIST SP 800-46</t>
  </si>
  <si>
    <t>AC-3, CM-7; NIST SP 800-46</t>
  </si>
  <si>
    <t>CA-9, SC-4</t>
  </si>
  <si>
    <t>AC-5</t>
  </si>
  <si>
    <t>AC-2, AC-3, AC-6, MA-2, MA-3</t>
  </si>
  <si>
    <t>IA-4</t>
  </si>
  <si>
    <t>IA-5(1)</t>
  </si>
  <si>
    <t>IA-2, IA-5</t>
  </si>
  <si>
    <t>IA-5</t>
  </si>
  <si>
    <t>AC-6(1,3,9), AU-2, AU-2(3), AU-3, AU-7, AU-9(4), AU-12, NIST 800-92</t>
  </si>
  <si>
    <t>AU-2(3), AU-6, AU-12, AC-6(9), CM-3, MA-2, MA-5, PE-3</t>
  </si>
  <si>
    <t>AU-9</t>
  </si>
  <si>
    <t>AU-7, AU-9, IR-4, AC-5, CP-4, CP-10; NIST SP 800-34</t>
  </si>
  <si>
    <t>AC-5, CP-4, CP-10; NIST SP 800-34</t>
  </si>
  <si>
    <t>AT-3, AC-5, CP-4, CP-10; NIST SP 800-34</t>
  </si>
  <si>
    <t>CM-3, CM-4, CM-5</t>
  </si>
  <si>
    <t>AC-4, MP-2, MP-4</t>
  </si>
  <si>
    <t>AC-22</t>
  </si>
  <si>
    <t>MP-2, AC-19(5)</t>
  </si>
  <si>
    <t>PE-2, PE-3, PE-5, MP-5</t>
  </si>
  <si>
    <t>CP-9</t>
  </si>
  <si>
    <t>CP-9 MP-6, NIST SP 800-60, NIST SP 800-88, AC-2, AC-6, IA-4, PM-2, PM-10, SI-5, MA-2, MA-3, MP-6</t>
  </si>
  <si>
    <t>AC-2, AC-6, IA-4, PM-2, PM-10, SI-5, MA-2</t>
  </si>
  <si>
    <t>SI-12, AC-2, AC-6, IA-4, PM-2, PM-10, SI-5, MA-2</t>
  </si>
  <si>
    <t>AC-2, AC-6, IA-4, PM-2, PM-10, SI-5</t>
  </si>
  <si>
    <t>SC-28, SC-13, FIPS PUB 140-2</t>
  </si>
  <si>
    <t>CP-9, MP-5</t>
  </si>
  <si>
    <t>PE-2, PE-3, PE-5, PE-11, PE-13, PE-14</t>
  </si>
  <si>
    <t>IR-2, IR-4, IR-5</t>
  </si>
  <si>
    <t>IR-2, IR-4, IR-9</t>
  </si>
  <si>
    <t>IR-2, IR-4, IR-10</t>
  </si>
  <si>
    <t>AU-2</t>
  </si>
  <si>
    <t>AC-19(5)</t>
  </si>
  <si>
    <t>MP-4, PE-2, PE-5, PE-6, PE-17</t>
  </si>
  <si>
    <t>MP-2, MP-5, MP-7</t>
  </si>
  <si>
    <t>PE-6</t>
  </si>
  <si>
    <t>PM-2, PM-10, SI-5, CA-5, PM-1</t>
  </si>
  <si>
    <t>CA-5, PM-1</t>
  </si>
  <si>
    <t>CM-3, SA-15, SA-3, SA-8, SC-2, CA-5, PM-1</t>
  </si>
  <si>
    <t>CA-5, PM-1, IR-4, IR-5, IR-7, IR-8</t>
  </si>
  <si>
    <t>CA-5, PM-1, IR-4, IR-5, IR-6, IR-7, IR-8</t>
  </si>
  <si>
    <t>CA-2, SA-15, CA-5, PM-1, IR-4, IR-5, IR-6, R-7, IR-8</t>
  </si>
  <si>
    <t>CA-5, PM-1, PS-3</t>
  </si>
  <si>
    <t>AT-2, CA-5, PM-1</t>
  </si>
  <si>
    <t>AT-2, AT-3, CA-5, PM-1</t>
  </si>
  <si>
    <t>CA-5, PM-1, PS-4, PS-5, PE-2, PE-3, PE-5, AC-6, RA-3, SA-8, CA-2, NIST SP 800-37; NIST SP 800-39; NIST SP 800-115; NIST SP 800-137</t>
  </si>
  <si>
    <t>CM-2, CM-3, CM-6, CM-8</t>
  </si>
  <si>
    <t>CM-2, CM-6, CM-3, AC-19, MA-2</t>
  </si>
  <si>
    <t>SI-2</t>
  </si>
  <si>
    <t>AT-3</t>
  </si>
  <si>
    <t>IR-2, IR-4, IR-5, IR-7</t>
  </si>
  <si>
    <t>IR-6</t>
  </si>
  <si>
    <t>AC-7</t>
  </si>
  <si>
    <t>AC-11, AC-11(1), AC-12</t>
  </si>
  <si>
    <t>AU-2, AU-6, AU-12</t>
  </si>
  <si>
    <t>AU-3</t>
  </si>
  <si>
    <t>Describe or provide a reference to your media handling process, that is documented and currently implemented, including end-of-life, repurposing, and data sanitization procedures.</t>
  </si>
  <si>
    <t>ISO 27002:2013</t>
  </si>
  <si>
    <t>v1.06</t>
  </si>
  <si>
    <t>Added standards crosswalk and Cloud Broker Index (CBI) information</t>
  </si>
  <si>
    <t>Are you compliant with FISMA standards?</t>
  </si>
  <si>
    <t>Do you have existing higher education customers?</t>
  </si>
  <si>
    <t>Have you had a significant breach in the last 5 years?</t>
  </si>
  <si>
    <t>Do you have a dedicated Information Security staff or office?</t>
  </si>
  <si>
    <t>Use this area to share information about your environment that will assist those who are assessing your company data security program.</t>
  </si>
  <si>
    <t>Do you support role-based access control (RBAC) for end-users?</t>
  </si>
  <si>
    <t>Do you support role-based access control (RBAC) for system administrators?</t>
  </si>
  <si>
    <t>Can employees access customer data remotely?</t>
  </si>
  <si>
    <t>Can you provide overall system and/or application architecture diagrams including a full description of the data communications architecture for all components of the system?</t>
  </si>
  <si>
    <t xml:space="preserve">Do you employ a single-tenant environment? </t>
  </si>
  <si>
    <t>Will the consulting take place on-premises?</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</si>
  <si>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</si>
  <si>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Has the Disaster Recovery Plan been tested in the last year?  Please provide a summary of the results in Additional Information (including actual recovery time).</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</si>
  <si>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</si>
  <si>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</si>
  <si>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</si>
  <si>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</si>
  <si>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</si>
  <si>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</si>
  <si>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</si>
  <si>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</si>
  <si>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</si>
  <si>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</si>
  <si>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</si>
  <si>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</si>
  <si>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</si>
  <si>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</si>
  <si>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</si>
  <si>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</si>
  <si>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</si>
  <si>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</si>
  <si>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</si>
  <si>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</si>
  <si>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</si>
  <si>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</si>
  <si>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</si>
  <si>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</si>
  <si>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</si>
  <si>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</si>
  <si>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</si>
  <si>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</si>
  <si>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</si>
  <si>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</si>
  <si>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</si>
  <si>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</si>
  <si>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</si>
  <si>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</si>
  <si>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</si>
  <si>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</si>
  <si>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</si>
  <si>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</si>
  <si>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</si>
  <si>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</si>
  <si>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</si>
  <si>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</si>
  <si>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</si>
  <si>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</si>
  <si>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</si>
  <si>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</si>
  <si>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</si>
  <si>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</si>
  <si>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</si>
  <si>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</si>
  <si>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</si>
  <si>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</si>
  <si>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</si>
  <si>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</si>
  <si>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</si>
  <si>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</si>
  <si>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</si>
  <si>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</si>
  <si>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</si>
  <si>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</si>
  <si>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</si>
  <si>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</si>
  <si>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</si>
  <si>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</si>
  <si>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</si>
  <si>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</si>
  <si>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</si>
  <si>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</si>
  <si>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</si>
  <si>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</si>
  <si>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</si>
  <si>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</si>
  <si>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</si>
  <si>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</si>
  <si>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</si>
  <si>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</si>
  <si>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</si>
  <si>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</si>
  <si>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</si>
  <si>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</si>
  <si>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</si>
  <si>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</si>
  <si>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</si>
  <si>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</si>
  <si>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</si>
  <si>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</si>
  <si>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</si>
  <si>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</si>
  <si>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</si>
  <si>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</si>
  <si>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</si>
  <si>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</si>
  <si>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</si>
  <si>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</si>
  <si>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</si>
  <si>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</si>
  <si>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</si>
  <si>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</si>
  <si>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</si>
  <si>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</si>
  <si>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</si>
  <si>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</si>
  <si>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</si>
  <si>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</si>
  <si>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</si>
  <si>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</si>
  <si>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</si>
  <si>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</si>
  <si>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</si>
  <si>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</si>
  <si>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</si>
  <si>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</si>
  <si>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</si>
  <si>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</si>
  <si>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</si>
  <si>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</si>
  <si>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</si>
  <si>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</si>
  <si>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</si>
  <si>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</si>
  <si>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</si>
  <si>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</si>
  <si>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</si>
  <si>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</si>
  <si>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</si>
  <si>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</si>
  <si>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</si>
  <si>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</si>
  <si>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</si>
  <si>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</si>
  <si>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</si>
  <si>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</si>
  <si>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</si>
  <si>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</si>
  <si>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</si>
  <si>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</si>
  <si>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</si>
  <si>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</si>
  <si>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</si>
  <si>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</si>
  <si>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</si>
  <si>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</si>
  <si>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</si>
  <si>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</si>
  <si>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</si>
  <si>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</si>
  <si>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</si>
  <si>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</si>
  <si>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</si>
  <si>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</si>
  <si>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</si>
  <si>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</si>
  <si>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</si>
  <si>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</si>
  <si>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</si>
  <si>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</si>
  <si>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</si>
  <si>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</si>
  <si>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</si>
  <si>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</si>
  <si>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</si>
  <si>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</si>
  <si>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</si>
  <si>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</si>
  <si>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</si>
  <si>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</si>
  <si>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</si>
  <si>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</si>
  <si>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</si>
  <si>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</si>
  <si>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</si>
  <si>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</si>
  <si>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</si>
  <si>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</si>
  <si>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</si>
  <si>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</si>
  <si>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</si>
  <si>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</si>
  <si>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</si>
  <si>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</si>
  <si>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</si>
  <si>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</si>
  <si>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</si>
  <si>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</si>
  <si>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</si>
  <si>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</si>
  <si>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</si>
  <si>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</si>
  <si>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</si>
  <si>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</si>
  <si>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</si>
  <si>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</si>
  <si>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</si>
  <si>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</si>
  <si>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</si>
  <si>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</si>
  <si>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</si>
  <si>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</si>
  <si>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</si>
  <si>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</si>
  <si>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</si>
  <si>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</si>
  <si>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</si>
  <si>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</si>
  <si>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</si>
  <si>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</si>
  <si>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</si>
  <si>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</si>
  <si>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</si>
  <si>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</si>
  <si>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</si>
  <si>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</si>
  <si>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</si>
  <si>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</si>
  <si>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</si>
  <si>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</si>
  <si>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</si>
  <si>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</si>
  <si>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</si>
  <si>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</si>
  <si>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</si>
  <si>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</si>
  <si>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</si>
  <si>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</si>
  <si>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</si>
  <si>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</si>
  <si>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</si>
  <si>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</si>
  <si>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</si>
  <si>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</si>
  <si>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</si>
  <si>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</si>
  <si>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</si>
  <si>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</si>
  <si>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</si>
  <si>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</si>
  <si>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</si>
  <si>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</si>
  <si>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</si>
  <si>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</si>
  <si>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</si>
  <si>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</si>
  <si>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</si>
  <si>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</si>
  <si>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</si>
  <si>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</si>
  <si>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</si>
  <si>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</si>
  <si>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</si>
  <si>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</si>
  <si>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</si>
  <si>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</si>
  <si>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</si>
  <si>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</si>
  <si>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</si>
  <si>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</si>
  <si>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</si>
  <si>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</si>
  <si>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</si>
  <si>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</si>
  <si>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</si>
  <si>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</si>
  <si>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</si>
  <si>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</si>
  <si>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</si>
  <si>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</si>
  <si>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</si>
  <si>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</si>
  <si>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</si>
  <si>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</si>
  <si>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</si>
  <si>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</si>
  <si>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</si>
  <si>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</si>
  <si>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</si>
  <si>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</si>
  <si>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</si>
  <si>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</si>
  <si>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</si>
  <si>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</si>
  <si>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</si>
  <si>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</si>
  <si>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</si>
  <si>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</si>
  <si>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</si>
  <si>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</si>
  <si>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</si>
  <si>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</si>
  <si>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</si>
  <si>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</si>
  <si>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</si>
  <si>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</si>
  <si>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</si>
  <si>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</si>
  <si>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</si>
  <si>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</si>
  <si>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</si>
  <si>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</si>
  <si>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</si>
  <si>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</si>
  <si>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</si>
  <si>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</si>
  <si>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</si>
  <si>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</si>
  <si>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</si>
  <si>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</si>
  <si>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</si>
  <si>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</si>
  <si>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</si>
  <si>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</si>
  <si>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</si>
  <si>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</si>
  <si>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</si>
  <si>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</si>
  <si>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</si>
  <si>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</si>
  <si>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</si>
  <si>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</si>
  <si>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</si>
  <si>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</si>
  <si>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</si>
  <si>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</si>
  <si>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</si>
  <si>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</si>
  <si>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</si>
  <si>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</si>
  <si>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</si>
  <si>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</si>
  <si>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</si>
  <si>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</si>
  <si>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</si>
  <si>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</si>
  <si>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</si>
  <si>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</si>
  <si>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</si>
  <si>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</si>
  <si>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</si>
  <si>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</si>
  <si>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</si>
  <si>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</si>
  <si>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</si>
  <si>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</si>
  <si>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</si>
  <si>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</si>
  <si>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</si>
  <si>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</si>
  <si>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</si>
  <si>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</si>
  <si>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</si>
  <si>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</si>
  <si>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</si>
  <si>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</si>
  <si>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</si>
  <si>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</si>
  <si>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</si>
  <si>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</si>
  <si>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</si>
  <si>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</si>
  <si>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</si>
  <si>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</si>
  <si>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</si>
  <si>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</si>
  <si>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</si>
  <si>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</si>
  <si>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</si>
  <si>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</si>
  <si>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</si>
  <si>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</si>
  <si>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</si>
  <si>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</si>
  <si>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</si>
  <si>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</si>
  <si>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</si>
  <si>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</si>
  <si>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</si>
  <si>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</si>
  <si>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</si>
  <si>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</si>
  <si>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</si>
  <si>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</si>
  <si>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</si>
  <si>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</si>
  <si>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</si>
  <si>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</si>
  <si>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</si>
  <si>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</si>
  <si>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</si>
  <si>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</si>
  <si>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</si>
  <si>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</si>
  <si>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</si>
  <si>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</si>
  <si>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</si>
  <si>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</si>
  <si>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</si>
  <si>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</si>
  <si>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</si>
  <si>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</si>
  <si>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</si>
  <si>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</si>
  <si>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</si>
  <si>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</si>
  <si>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</si>
  <si>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</si>
  <si>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</si>
  <si>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</si>
  <si>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</si>
  <si>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</si>
  <si>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</si>
  <si>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</si>
  <si>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</si>
  <si>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</si>
  <si>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</si>
  <si>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</si>
  <si>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</si>
  <si>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</si>
  <si>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</si>
  <si>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</si>
  <si>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</si>
  <si>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</si>
  <si>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</si>
  <si>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</si>
  <si>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</si>
  <si>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</si>
  <si>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</si>
  <si>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</si>
  <si>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</si>
  <si>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</si>
  <si>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</si>
  <si>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</si>
  <si>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</si>
  <si>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</si>
  <si>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</si>
  <si>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</si>
  <si>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</si>
  <si>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</si>
  <si>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</si>
  <si>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</si>
  <si>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</si>
  <si>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</si>
  <si>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</si>
  <si>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</si>
  <si>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</si>
  <si>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</si>
  <si>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</si>
  <si>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</si>
  <si>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</si>
  <si>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</si>
  <si>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</si>
  <si>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</si>
  <si>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</si>
  <si>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</si>
  <si>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</si>
  <si>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</si>
  <si>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</si>
  <si>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</si>
  <si>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</si>
  <si>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</si>
  <si>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</si>
  <si>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</si>
  <si>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</si>
  <si>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</si>
  <si>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</si>
  <si>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</si>
  <si>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</si>
  <si>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</si>
  <si>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</si>
  <si>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</si>
  <si>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</si>
  <si>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</si>
  <si>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</si>
  <si>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</si>
  <si>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</si>
  <si>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</si>
  <si>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</si>
  <si>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</si>
  <si>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</si>
  <si>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</si>
  <si>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</si>
  <si>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</si>
  <si>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</si>
  <si>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</si>
  <si>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</si>
  <si>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</si>
  <si>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</si>
  <si>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</si>
  <si>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</si>
  <si>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</si>
  <si>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</si>
  <si>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</si>
  <si>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</si>
  <si>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</si>
  <si>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</si>
  <si>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</si>
  <si>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</si>
  <si>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</si>
  <si>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</si>
  <si>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</si>
  <si>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</si>
  <si>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</si>
  <si>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</si>
  <si>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</si>
  <si>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</si>
  <si>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</si>
  <si>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</si>
  <si>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</si>
  <si>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</si>
  <si>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</si>
  <si>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</si>
  <si>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</si>
  <si>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</si>
  <si>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</si>
  <si>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</si>
  <si>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</si>
  <si>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</si>
  <si>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</si>
  <si>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</si>
  <si>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</si>
  <si>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</si>
  <si>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</si>
  <si>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</si>
  <si>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</si>
  <si>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</si>
  <si>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</si>
  <si>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</si>
  <si>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</si>
  <si>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</si>
  <si>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</si>
  <si>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</si>
  <si>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</si>
  <si>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</si>
  <si>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</si>
  <si>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</si>
  <si>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</si>
  <si>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</si>
  <si>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</si>
  <si>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</si>
  <si>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</si>
  <si>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</si>
  <si>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</si>
  <si>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</si>
  <si>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</si>
  <si>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</si>
  <si>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</si>
  <si>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</si>
  <si>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</si>
  <si>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</si>
  <si>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</si>
  <si>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</si>
  <si>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</si>
  <si>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</si>
  <si>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</si>
  <si>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</si>
  <si>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</si>
  <si>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</si>
  <si>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</si>
  <si>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</si>
  <si>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</si>
  <si>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</si>
  <si>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</si>
  <si>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</si>
  <si>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</si>
  <si>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</si>
  <si>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</si>
  <si>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</si>
  <si>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</si>
  <si>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</si>
  <si>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</si>
  <si>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</si>
  <si>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</si>
  <si>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</si>
  <si>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</si>
  <si>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</si>
  <si>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</si>
  <si>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</si>
  <si>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</si>
  <si>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</si>
  <si>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</si>
  <si>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</si>
  <si>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</si>
  <si>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</si>
  <si>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</si>
  <si>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</si>
  <si>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</si>
  <si>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</si>
  <si>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</si>
  <si>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</si>
  <si>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</si>
  <si>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</si>
  <si>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</si>
  <si>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</si>
  <si>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</si>
  <si>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</si>
  <si>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</si>
  <si>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</si>
  <si>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</si>
  <si>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</si>
  <si>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</si>
  <si>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</si>
  <si>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</si>
  <si>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</si>
  <si>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</si>
  <si>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</si>
  <si>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</si>
  <si>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</si>
  <si>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</si>
  <si>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</si>
  <si>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</si>
  <si>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</si>
  <si>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</si>
  <si>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</si>
  <si>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</si>
  <si>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</si>
  <si>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</si>
  <si>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</si>
  <si>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</si>
  <si>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</si>
  <si>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</si>
  <si>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</si>
  <si>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</si>
  <si>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</si>
  <si>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</si>
  <si>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</si>
  <si>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</si>
  <si>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</si>
  <si>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</si>
  <si>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</si>
  <si>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</si>
  <si>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</si>
  <si>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</si>
  <si>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</si>
  <si>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</si>
  <si>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</si>
  <si>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</si>
  <si>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</si>
  <si>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</si>
  <si>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</si>
  <si>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</si>
  <si>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</si>
  <si>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</si>
  <si>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</si>
  <si>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</si>
  <si>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</si>
  <si>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</si>
  <si>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</si>
  <si>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</si>
  <si>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</si>
  <si>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</si>
  <si>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</si>
  <si>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</si>
  <si>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</si>
  <si>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</si>
  <si>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</si>
  <si>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</si>
  <si>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</si>
  <si>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</si>
  <si>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</si>
  <si>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</si>
  <si>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</si>
  <si>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</si>
  <si>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</si>
  <si>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</si>
  <si>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</si>
  <si>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</si>
  <si>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</si>
  <si>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</si>
  <si>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</si>
  <si>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</si>
  <si>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</si>
  <si>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</si>
  <si>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</si>
  <si>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</si>
  <si>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</si>
  <si>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</si>
  <si>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</si>
  <si>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</si>
  <si>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</si>
  <si>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</si>
  <si>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</si>
  <si>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</si>
  <si>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</si>
  <si>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</si>
  <si>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</si>
  <si>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</si>
  <si>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</si>
  <si>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</si>
  <si>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</si>
  <si>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</si>
  <si>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</si>
  <si>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</si>
  <si>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</si>
  <si>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</si>
  <si>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</si>
  <si>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</si>
  <si>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</si>
  <si>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</si>
  <si>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</si>
  <si>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</si>
  <si>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</si>
  <si>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</si>
  <si>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</si>
  <si>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</si>
  <si>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</si>
  <si>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</si>
  <si>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</si>
  <si>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</si>
  <si>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</si>
  <si>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</si>
  <si>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</si>
  <si>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</si>
  <si>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</si>
  <si>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</si>
  <si>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</si>
  <si>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</si>
  <si>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</si>
  <si>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</si>
  <si>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</si>
  <si>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</si>
  <si>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</si>
  <si>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</si>
  <si>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</si>
  <si>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</si>
  <si>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</si>
  <si>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</si>
  <si>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</si>
  <si>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</si>
  <si>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</si>
  <si>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</si>
  <si>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</si>
  <si>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</si>
  <si>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</si>
  <si>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</si>
  <si>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</si>
  <si>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</si>
  <si>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</si>
  <si>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</si>
  <si>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</si>
  <si>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</si>
  <si>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</si>
  <si>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</si>
  <si>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</si>
  <si>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</si>
  <si>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</si>
  <si>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</si>
  <si>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</si>
  <si>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</si>
  <si>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</si>
  <si>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</si>
  <si>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</si>
  <si>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</si>
  <si>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</si>
  <si>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</si>
  <si>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</si>
  <si>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</si>
  <si>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</si>
  <si>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</si>
  <si>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</si>
  <si>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</si>
  <si>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</si>
  <si>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</si>
  <si>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</si>
  <si>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</si>
  <si>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</si>
  <si>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</si>
  <si>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</si>
  <si>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</si>
  <si>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</si>
  <si>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</si>
  <si>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</si>
  <si>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</si>
  <si>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</si>
  <si>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</si>
  <si>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</si>
  <si>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</si>
  <si>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</si>
  <si>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</si>
  <si>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</si>
  <si>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</si>
  <si>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</si>
  <si>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</si>
  <si>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</si>
  <si>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</si>
  <si>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</si>
  <si>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</si>
  <si>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</si>
  <si>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</si>
  <si>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</si>
  <si>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</si>
  <si>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</si>
  <si>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</si>
  <si>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</si>
  <si>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</si>
  <si>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</si>
  <si>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</si>
  <si>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</si>
  <si>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</si>
  <si>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</si>
  <si>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</si>
  <si>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</si>
  <si>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</si>
  <si>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</si>
  <si>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</si>
  <si>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</si>
  <si>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</si>
  <si>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</si>
  <si>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</si>
  <si>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</si>
  <si>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</si>
  <si>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</si>
  <si>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</si>
  <si>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</si>
  <si>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</si>
  <si>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</si>
  <si>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</si>
  <si>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</si>
  <si>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</si>
  <si>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</si>
  <si>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</si>
  <si>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</si>
  <si>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</si>
  <si>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</si>
  <si>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</si>
  <si>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</si>
  <si>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</si>
  <si>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</si>
  <si>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</si>
  <si>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</si>
  <si>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</si>
  <si>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</si>
  <si>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</si>
  <si>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</si>
  <si>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</si>
  <si>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</si>
  <si>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</si>
  <si>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</si>
  <si>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</si>
  <si>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</si>
  <si>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</si>
  <si>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</si>
  <si>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</si>
  <si>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</si>
  <si>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</si>
  <si>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</si>
  <si>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</si>
  <si>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</si>
  <si>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</si>
  <si>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</si>
  <si>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</si>
  <si>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</si>
  <si>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</si>
  <si>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</si>
  <si>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</si>
  <si>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</si>
  <si>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</si>
  <si>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</si>
  <si>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</si>
  <si>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</si>
  <si>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</si>
  <si>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</si>
  <si>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</si>
  <si>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</si>
  <si>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</si>
  <si>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</si>
  <si>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</si>
  <si>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</si>
  <si>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</si>
  <si>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</si>
  <si>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</si>
  <si>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</si>
  <si>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</si>
  <si>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</si>
  <si>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</si>
  <si>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</si>
  <si>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</si>
  <si>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</si>
  <si>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</si>
  <si>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</si>
  <si>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</si>
  <si>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</si>
  <si>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</si>
  <si>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</si>
  <si>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</si>
  <si>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</si>
  <si>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</si>
  <si>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</si>
  <si>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</si>
  <si>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</si>
  <si>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</si>
  <si>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</si>
  <si>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</si>
  <si>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</si>
  <si>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</si>
  <si>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</si>
  <si>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</si>
  <si>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</si>
  <si>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</si>
  <si>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</si>
  <si>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</si>
  <si>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</si>
  <si>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</si>
  <si>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</si>
  <si>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</si>
  <si>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</si>
  <si>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</si>
  <si>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</si>
  <si>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</si>
  <si>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</si>
  <si>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</si>
  <si>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</si>
  <si>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</si>
  <si>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</si>
  <si>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</si>
  <si>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</si>
  <si>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</si>
  <si>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</si>
  <si>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</si>
  <si>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</si>
  <si>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</si>
  <si>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</si>
  <si>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</si>
  <si>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</si>
  <si>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</si>
  <si>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</si>
  <si>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</si>
  <si>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</si>
  <si>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</si>
  <si>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</si>
  <si>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</si>
  <si>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</si>
  <si>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</si>
  <si>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</si>
  <si>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</si>
  <si>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</si>
  <si>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</si>
  <si>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</si>
  <si>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</si>
  <si>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</si>
  <si>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</si>
  <si>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</si>
  <si>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</si>
  <si>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</si>
  <si>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</si>
  <si>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</si>
  <si>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</si>
  <si>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</si>
  <si>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</si>
  <si>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</si>
  <si>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</si>
  <si>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</si>
  <si>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</si>
  <si>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</si>
  <si>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</si>
  <si>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</si>
  <si>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</si>
  <si>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</si>
  <si>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</si>
  <si>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</si>
  <si>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</si>
  <si>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</si>
  <si>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</si>
  <si>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</si>
  <si>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</si>
  <si>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</si>
  <si>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</si>
  <si>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</si>
  <si>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</si>
  <si>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</si>
  <si>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</si>
  <si>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</si>
  <si>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</si>
  <si>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</si>
  <si>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</si>
  <si>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</si>
  <si>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</si>
  <si>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</si>
  <si>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</si>
  <si>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</si>
  <si>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</si>
  <si>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</si>
  <si>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</si>
  <si>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</si>
  <si>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</si>
  <si>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</si>
  <si>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</si>
  <si>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</si>
  <si>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</si>
  <si>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</si>
  <si>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</si>
  <si>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</si>
  <si>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</si>
  <si>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</si>
  <si>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</si>
  <si>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</si>
  <si>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</si>
  <si>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</si>
  <si>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</si>
  <si>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</si>
  <si>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</si>
  <si>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</si>
  <si>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</si>
  <si>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</si>
  <si>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</si>
  <si>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</si>
  <si>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</si>
  <si>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</si>
  <si>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</si>
  <si>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</si>
  <si>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</si>
  <si>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</si>
  <si>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</si>
  <si>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</si>
  <si>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</si>
  <si>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</si>
  <si>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</si>
  <si>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</si>
  <si>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</si>
  <si>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</si>
  <si>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</si>
  <si>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</si>
  <si>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</si>
  <si>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</si>
  <si>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</si>
  <si>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</si>
  <si>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</si>
  <si>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</si>
  <si>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</si>
  <si>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</si>
  <si>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</si>
  <si>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</si>
  <si>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</si>
  <si>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</si>
  <si>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</si>
  <si>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</si>
  <si>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</si>
  <si>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</si>
  <si>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</si>
  <si>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</si>
  <si>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</si>
  <si>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</si>
  <si>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</si>
  <si>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</si>
  <si>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</si>
  <si>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</si>
  <si>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</si>
  <si>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</si>
  <si>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</si>
  <si>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</si>
  <si>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</si>
  <si>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</si>
  <si>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</si>
  <si>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</si>
  <si>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</si>
  <si>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</si>
  <si>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</si>
  <si>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</si>
  <si>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</si>
  <si>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</si>
  <si>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</si>
  <si>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</si>
  <si>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</si>
  <si>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</si>
  <si>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</si>
  <si>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</si>
  <si>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</si>
  <si>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</si>
  <si>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</si>
  <si>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</si>
  <si>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</si>
  <si>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</si>
  <si>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</si>
  <si>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</si>
  <si>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</si>
  <si>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</si>
  <si>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</si>
  <si>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</si>
  <si>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</si>
  <si>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</si>
  <si>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</si>
  <si>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</si>
  <si>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</si>
  <si>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</si>
  <si>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</si>
  <si>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</si>
  <si>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</si>
  <si>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</si>
  <si>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</si>
  <si>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</si>
  <si>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</si>
  <si>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</si>
  <si>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</si>
  <si>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</si>
  <si>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</si>
  <si>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</si>
  <si>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</si>
  <si>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</si>
  <si>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</si>
  <si>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</si>
  <si>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</si>
  <si>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</si>
  <si>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</si>
  <si>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</si>
  <si>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</si>
  <si>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</si>
  <si>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</si>
  <si>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</si>
  <si>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</si>
  <si>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</si>
  <si>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</si>
  <si>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</si>
  <si>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</si>
  <si>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</si>
  <si>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</si>
  <si>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</si>
  <si>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</si>
  <si>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</si>
  <si>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</si>
  <si>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</si>
  <si>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</si>
  <si>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</si>
  <si>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</si>
  <si>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</si>
  <si>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</si>
  <si>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</si>
  <si>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</si>
  <si>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</si>
  <si>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</si>
  <si>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</si>
  <si>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</si>
  <si>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</si>
  <si>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</si>
  <si>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Database</t>
  </si>
  <si>
    <t>Datacenter</t>
  </si>
  <si>
    <t>Disaster Recovery Plan</t>
  </si>
  <si>
    <t>Firewalls, IDS, IPS, and Networking</t>
  </si>
  <si>
    <t>Mobile Applications</t>
  </si>
  <si>
    <t>Physical Security</t>
  </si>
  <si>
    <t>Policies, Procedures, and Processes</t>
  </si>
  <si>
    <t>Product Evaluation</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</si>
  <si>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</si>
  <si>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</si>
  <si>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</si>
  <si>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</si>
  <si>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</si>
  <si>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</si>
  <si>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</si>
  <si>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</si>
  <si>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</si>
  <si>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</si>
  <si>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</si>
  <si>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</si>
  <si>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</si>
  <si>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</si>
  <si>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</si>
  <si>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</si>
  <si>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</si>
  <si>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</si>
  <si>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</si>
  <si>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</si>
  <si>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</si>
  <si>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Qualitative Questions</t>
  </si>
  <si>
    <t>Vendor Answer</t>
  </si>
  <si>
    <t>Compliant?</t>
  </si>
  <si>
    <t>Does the system have password complexity or length limitations and/or restrictions?</t>
  </si>
  <si>
    <t>Do you have documented password/passphrase reset procedures that are currently implemented in the system and/or customer support?</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</si>
  <si>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</si>
  <si>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 xml:space="preserve">Has your BCP been tested in the last year? </t>
  </si>
  <si>
    <t>Is this product a core service of your organization, and as such, the top priority during business continuity planning?</t>
  </si>
  <si>
    <t>Will the Institution be notified of major changes to your environment that could impact the Institution's security posture?</t>
  </si>
  <si>
    <t>Does the system support client customizations from one release to another?</t>
  </si>
  <si>
    <t>List all operating systems and the roles that are fulfilled by each.</t>
  </si>
  <si>
    <t>Describe the products and how they will be implemented.</t>
  </si>
  <si>
    <r>
      <t xml:space="preserve">Are there any OS and/or web-browser combinations that are </t>
    </r>
    <r>
      <rPr>
        <u/>
        <sz val="11"/>
        <color rgb="FF000000"/>
        <rFont val="Verdana"/>
        <family val="2"/>
      </rPr>
      <t>not</t>
    </r>
    <r>
      <rPr>
        <sz val="11"/>
        <color rgb="FF000000"/>
        <rFont val="Verdana"/>
        <family val="2"/>
      </rPr>
      <t xml:space="preserve"> currently supported?</t>
    </r>
  </si>
  <si>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</si>
  <si>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Do you have a release schedule for product updates?</t>
  </si>
  <si>
    <t>Do you have a technology roadmap, for the next 2 years, for enhancements and bug fixes for the product/service being assessed?</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</si>
  <si>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</si>
  <si>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</si>
  <si>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</si>
  <si>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Do you physically and logically separate Institution's data from that of other customers?</t>
  </si>
  <si>
    <t>Order</t>
  </si>
  <si>
    <t>CIS</t>
  </si>
  <si>
    <t>ISO 27002:27013</t>
  </si>
  <si>
    <t>Row Labels</t>
  </si>
  <si>
    <t>TRUE</t>
  </si>
  <si>
    <t>Non-Compliant Responses</t>
  </si>
  <si>
    <t>Third-Parties</t>
  </si>
  <si>
    <t>Mobile App Section Required</t>
  </si>
  <si>
    <t>Third  Party  Section Required</t>
  </si>
  <si>
    <t>Business Continuity  Section Required</t>
  </si>
  <si>
    <t>PCI DSS  Section Required</t>
  </si>
  <si>
    <t>HIPAA Section Required</t>
  </si>
  <si>
    <t>Disaster Recovery Section Required</t>
  </si>
  <si>
    <t>Does your company use role-based access control to define employee access to institution's data?</t>
  </si>
  <si>
    <t>Does this data center operate outside of the Institution's Data Zone?</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</si>
  <si>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</si>
  <si>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Are your applications scanned externally for vulnerabilities?</t>
  </si>
  <si>
    <t>Are your systems scanned externally for vulnerabilities?</t>
  </si>
  <si>
    <t>Ave Percent</t>
  </si>
  <si>
    <t>Total Points</t>
  </si>
  <si>
    <t>Overall Score</t>
  </si>
  <si>
    <t>Product Name and Version Information</t>
  </si>
  <si>
    <t>http://www.vendor.domain/privacynotice</t>
  </si>
  <si>
    <t>Vendor Contact E-mail Address</t>
  </si>
  <si>
    <t>Insider Threat Program</t>
  </si>
  <si>
    <t>PCI Scope, Discovery</t>
  </si>
  <si>
    <t>PCI Scope</t>
  </si>
  <si>
    <t>12.1, Scope</t>
  </si>
  <si>
    <t>12.8, 12.5</t>
  </si>
  <si>
    <t>7.x</t>
  </si>
  <si>
    <t>12.8, 4.2</t>
  </si>
  <si>
    <t>12.x</t>
  </si>
  <si>
    <t>7.x, 8.x</t>
  </si>
  <si>
    <t>Scope</t>
  </si>
  <si>
    <t>8.x</t>
  </si>
  <si>
    <t>2.1, 8.x</t>
  </si>
  <si>
    <t>10.1, 10.2, 10.3, 10.5, 10.6, 10.7</t>
  </si>
  <si>
    <t>10.1, 10.2, 10.3, 10.5, 10.6, 10.7, 9.x</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</si>
  <si>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</si>
  <si>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</si>
  <si>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</si>
  <si>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</si>
  <si>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</si>
  <si>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</si>
  <si>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</si>
  <si>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</si>
  <si>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</si>
  <si>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</si>
  <si>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</si>
  <si>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</si>
  <si>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</si>
  <si>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</si>
  <si>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</si>
  <si>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</si>
  <si>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</si>
  <si>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</si>
  <si>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</si>
  <si>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</si>
  <si>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</si>
  <si>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</si>
  <si>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</si>
  <si>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5.4 (?)</t>
  </si>
  <si>
    <t>12.1, 12.5, 12.6</t>
  </si>
  <si>
    <t>11.2, 11.3</t>
  </si>
  <si>
    <t>11.2, 12.8</t>
  </si>
  <si>
    <t>12.10, 10.10</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</si>
  <si>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</si>
  <si>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</si>
  <si>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</si>
  <si>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</si>
  <si>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</si>
  <si>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</si>
  <si>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</si>
  <si>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</si>
  <si>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</si>
  <si>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</si>
  <si>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</si>
  <si>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</si>
  <si>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</si>
  <si>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</si>
  <si>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</si>
  <si>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</si>
  <si>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</si>
  <si>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</si>
  <si>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</si>
  <si>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</si>
  <si>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</si>
  <si>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</si>
  <si>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</si>
  <si>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</si>
  <si>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</si>
  <si>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</si>
  <si>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</si>
  <si>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</si>
  <si>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</si>
  <si>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</si>
  <si>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</si>
  <si>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</si>
  <si>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</si>
  <si>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</si>
  <si>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</si>
  <si>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</si>
  <si>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</si>
  <si>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</si>
  <si>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</si>
  <si>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</si>
  <si>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</si>
  <si>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</si>
  <si>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</si>
  <si>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</si>
  <si>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</si>
  <si>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</si>
  <si>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</si>
  <si>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</si>
  <si>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</si>
  <si>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</si>
  <si>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</si>
  <si>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</si>
  <si>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</si>
  <si>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</si>
  <si>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</si>
  <si>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</si>
  <si>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</si>
  <si>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</si>
  <si>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</si>
  <si>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</si>
  <si>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</si>
  <si>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</si>
  <si>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</si>
  <si>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</si>
  <si>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</si>
  <si>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</si>
  <si>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</si>
  <si>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</si>
  <si>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</si>
  <si>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</si>
  <si>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</si>
  <si>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</si>
  <si>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</si>
  <si>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</si>
  <si>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</si>
  <si>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</si>
  <si>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</si>
  <si>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</si>
  <si>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</si>
  <si>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</si>
  <si>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</si>
  <si>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</si>
  <si>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</si>
  <si>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</si>
  <si>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</si>
  <si>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</si>
  <si>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</si>
  <si>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</si>
  <si>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</si>
  <si>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</si>
  <si>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</si>
  <si>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</si>
  <si>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</si>
  <si>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</si>
  <si>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</si>
  <si>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</si>
  <si>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</si>
  <si>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</si>
  <si>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</si>
  <si>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</si>
  <si>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</si>
  <si>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</si>
  <si>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</si>
  <si>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</si>
  <si>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</si>
  <si>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</si>
  <si>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</si>
  <si>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</si>
  <si>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</si>
  <si>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</si>
  <si>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</si>
  <si>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</si>
  <si>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</si>
  <si>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</si>
  <si>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</si>
  <si>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</si>
  <si>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</si>
  <si>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</si>
  <si>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</si>
  <si>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</si>
  <si>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</si>
  <si>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</si>
  <si>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</si>
  <si>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</si>
  <si>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</si>
  <si>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</si>
  <si>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</si>
  <si>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</si>
  <si>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</si>
  <si>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</si>
  <si>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</si>
  <si>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</si>
  <si>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</si>
  <si>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</si>
  <si>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</si>
  <si>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</si>
  <si>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</si>
  <si>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</si>
  <si>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</si>
  <si>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</si>
  <si>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</si>
  <si>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</si>
  <si>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</si>
  <si>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</si>
  <si>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</si>
  <si>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</si>
  <si>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</si>
  <si>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</si>
  <si>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</si>
  <si>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</si>
  <si>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</si>
  <si>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</si>
  <si>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</si>
  <si>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</si>
  <si>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</si>
  <si>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</si>
  <si>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</si>
  <si>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</si>
  <si>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</si>
  <si>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</si>
  <si>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</si>
  <si>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</si>
  <si>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</si>
  <si>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</si>
  <si>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</si>
  <si>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</si>
  <si>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</si>
  <si>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</si>
  <si>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</si>
  <si>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</si>
  <si>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</si>
  <si>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</si>
  <si>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</si>
  <si>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</si>
  <si>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</si>
  <si>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</si>
  <si>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</si>
  <si>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</si>
  <si>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</si>
  <si>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</si>
  <si>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</si>
  <si>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</si>
  <si>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</si>
  <si>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</si>
  <si>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</si>
  <si>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</si>
  <si>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</si>
  <si>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</si>
  <si>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</si>
  <si>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</si>
  <si>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</si>
  <si>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</si>
  <si>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</si>
  <si>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</si>
  <si>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</si>
  <si>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</si>
  <si>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</si>
  <si>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</si>
  <si>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</si>
  <si>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</si>
  <si>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</si>
  <si>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</si>
  <si>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</si>
  <si>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</si>
  <si>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</si>
  <si>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</si>
  <si>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</si>
  <si>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</si>
  <si>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</si>
  <si>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</si>
  <si>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</si>
  <si>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</si>
  <si>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</si>
  <si>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</si>
  <si>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</si>
  <si>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</si>
  <si>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</si>
  <si>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</si>
  <si>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</si>
  <si>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</si>
  <si>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</si>
  <si>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</si>
  <si>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</si>
  <si>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</si>
  <si>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</si>
  <si>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</si>
  <si>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</si>
  <si>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</si>
  <si>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</si>
  <si>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</si>
  <si>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</si>
  <si>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</si>
  <si>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</si>
  <si>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</si>
  <si>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</si>
  <si>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</si>
  <si>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</si>
  <si>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</si>
  <si>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</si>
  <si>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</si>
  <si>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</si>
  <si>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</si>
  <si>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</si>
  <si>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</si>
  <si>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</si>
  <si>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</si>
  <si>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</si>
  <si>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</si>
  <si>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</si>
  <si>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</si>
  <si>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</si>
  <si>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</si>
  <si>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</si>
  <si>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</si>
  <si>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</si>
  <si>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</si>
  <si>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</si>
  <si>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</si>
  <si>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</si>
  <si>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</si>
  <si>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</si>
  <si>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</si>
  <si>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</si>
  <si>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</si>
  <si>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</si>
  <si>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</si>
  <si>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</si>
  <si>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</si>
  <si>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</si>
  <si>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</si>
  <si>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</si>
  <si>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</si>
  <si>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</si>
  <si>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</si>
  <si>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</si>
  <si>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</si>
  <si>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</si>
  <si>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</si>
  <si>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</si>
  <si>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</si>
  <si>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</si>
  <si>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</si>
  <si>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</si>
  <si>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</si>
  <si>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</si>
  <si>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</si>
  <si>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</si>
  <si>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</si>
  <si>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</si>
  <si>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</si>
  <si>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</si>
  <si>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</si>
  <si>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</si>
  <si>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</si>
  <si>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</si>
  <si>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</si>
  <si>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</si>
  <si>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</si>
  <si>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</si>
  <si>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</si>
  <si>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</si>
  <si>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</si>
  <si>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</si>
  <si>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</si>
  <si>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</si>
  <si>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</si>
  <si>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</si>
  <si>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</si>
  <si>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</si>
  <si>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</si>
  <si>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</si>
  <si>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</si>
  <si>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</si>
  <si>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</si>
  <si>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</si>
  <si>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</si>
  <si>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</si>
  <si>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</si>
  <si>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</si>
  <si>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</si>
  <si>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</si>
  <si>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</si>
  <si>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</si>
  <si>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</si>
  <si>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</si>
  <si>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</si>
  <si>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</si>
  <si>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</si>
  <si>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</si>
  <si>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</si>
  <si>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</si>
  <si>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</si>
  <si>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</si>
  <si>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</si>
  <si>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</si>
  <si>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</si>
  <si>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</si>
  <si>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</si>
  <si>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</si>
  <si>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</si>
  <si>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</si>
  <si>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</si>
  <si>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</si>
  <si>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</si>
  <si>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</si>
  <si>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</si>
  <si>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</si>
  <si>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</si>
  <si>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</si>
  <si>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</si>
  <si>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</si>
  <si>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</si>
  <si>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</si>
  <si>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</si>
  <si>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</si>
  <si>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</si>
  <si>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</si>
  <si>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</si>
  <si>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</si>
  <si>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</si>
  <si>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</si>
  <si>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</si>
  <si>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</si>
  <si>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</si>
  <si>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</si>
  <si>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</si>
  <si>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</si>
  <si>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</si>
  <si>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</si>
  <si>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</si>
  <si>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</si>
  <si>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</si>
  <si>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</si>
  <si>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</si>
  <si>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</si>
  <si>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</si>
  <si>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</si>
  <si>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</si>
  <si>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</si>
  <si>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</si>
  <si>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</si>
  <si>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</si>
  <si>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</si>
  <si>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</si>
  <si>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</si>
  <si>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</si>
  <si>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</si>
  <si>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</si>
  <si>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</si>
  <si>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</si>
  <si>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</si>
  <si>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</si>
  <si>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</si>
  <si>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</si>
  <si>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</si>
  <si>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</si>
  <si>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</si>
  <si>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</si>
  <si>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</si>
  <si>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</si>
  <si>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</si>
  <si>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</si>
  <si>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</si>
  <si>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</si>
  <si>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Institution's Security Analyst/Engineer</t>
  </si>
  <si>
    <t>Do you have a dedicated Software and System Development team(s)? (e.g. Customer Support, Implementation, Product Management, etc.)</t>
  </si>
  <si>
    <t>Include circumstances that may involve off-shoring or multi-national agreements.</t>
  </si>
  <si>
    <t>Include the number of years and in what capacity.</t>
  </si>
  <si>
    <t>Share any details that would help information security analysts assess your product.</t>
  </si>
  <si>
    <t>Company</t>
  </si>
  <si>
    <t>Ensure that all parts of APPL-10 are clearly stated in your response. Submit architecture diagrams along with this fully-populated HECVAT.</t>
  </si>
  <si>
    <t>Include both end-user and adminstrative features and functions.</t>
  </si>
  <si>
    <t>Include a detailed description of how security administration and system administration authority is separated, controls are verified, and logs are reviewed regularly to ensure appropriate use.</t>
  </si>
  <si>
    <t xml:space="preserve">Ensure that all parts of APPL-16 are clearly stated in your response. </t>
  </si>
  <si>
    <t>Ensure that all parts of APPL-18 are clearly stated in your response. The examples given are not exhaustive - elaborate as necessary.</t>
  </si>
  <si>
    <t>Are there any passwords/passphrases hard coded into your systems or products?</t>
  </si>
  <si>
    <t>Ensure that all elements of AAAI-16 are clearly stated in your response.</t>
  </si>
  <si>
    <t>Ensure that all elements of AAAI-17 are clearly stated in your response.</t>
  </si>
  <si>
    <t>May the Institution review your BCP and supporting documentation?</t>
  </si>
  <si>
    <t>Provide a valid URL to your current BCP or submit it along with this fully-populated HECVAT.</t>
  </si>
  <si>
    <t>Ensure that all parts of CHNG-02 are clearly stated in your response.</t>
  </si>
  <si>
    <t>Ensure that all relevant details pertaining to CHNG-05 are clearly stated in your response.</t>
  </si>
  <si>
    <t>Ensure that all parts of CHNG-06 are clearly stated in your response.</t>
  </si>
  <si>
    <t>Ensure that all parts of DATA-07 are clearly stated in your response.</t>
  </si>
  <si>
    <t>If your strategy uses different processes for services and data, ensure that all strategies are clearly stated and supported.</t>
  </si>
  <si>
    <t>If your backup strategy uses varying periods, ensure that each strategy is clearly stated and supported.</t>
  </si>
  <si>
    <t>Is sensitive data encrypted in transport? (e.g. system-to-client)</t>
  </si>
  <si>
    <t>Does your system employ encryption technologies when transmitting sensitive information over TCP/IP networks (e.g., SSH, SSL/TLS, VPN)? (e.g. system-to-system and system-to-client)</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</si>
  <si>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</si>
  <si>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</si>
  <si>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</si>
  <si>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Provide a general summary of the implemented networking strategy.</t>
  </si>
  <si>
    <t>Ensure that all parts of DCTR-10 are clearly stated in your response.</t>
  </si>
  <si>
    <t>Review the Uptime Institute's level/tier direction provided on their website if you need addition information to answer DCTR-13.</t>
  </si>
  <si>
    <t>Ensure that all parts of DCTR-17 are clearly stated in your response.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</si>
  <si>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</si>
  <si>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</si>
  <si>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</si>
  <si>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</si>
  <si>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</si>
  <si>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Describe or provide a reference to any other safeguards used to monitor for malicious activity?</t>
  </si>
  <si>
    <t>Are audit logs available for all changes to the network, firewall, IDS, and IPS systems?</t>
  </si>
  <si>
    <t>Ensure that all parts of FIDP-03 are clearly stated in your response.</t>
  </si>
  <si>
    <t>In addtion to stating your intrusion monitoring strategy, provide a brief summary of its implementation.</t>
  </si>
  <si>
    <t xml:space="preserve">Ensure that all supported operating systems are listed - be sure to provide version number, where relevant. </t>
  </si>
  <si>
    <t>Ensure that all elements of MAPP-02  are clearly stated in your response. (i.e. (architecture AND functionality are defined)</t>
  </si>
  <si>
    <t>Is Institution's data encrypted in transport?</t>
  </si>
  <si>
    <t>Is Institution's data encrypted in storage? (e.g. disk encryption, at-rest)</t>
  </si>
  <si>
    <t>Does the application adhere to secure coding practices (e.g. OWASP, etc.)?</t>
  </si>
  <si>
    <t>Are video feeds monitored by datacenter staff?</t>
  </si>
  <si>
    <t>Provide a valid URL to your Quality Assurance program or submit it along with this fully-populated HECVAT.</t>
  </si>
  <si>
    <t>Ensure that all elements of VULN-06 are clearly stated in your response.</t>
  </si>
  <si>
    <t>Ensure that all elements of VULN-08 are clearly stated in your response.</t>
  </si>
  <si>
    <t>Will you provide results of security scans to the Institution?</t>
  </si>
  <si>
    <t>Refer to HIPAA regulations documentation for supplemental guidance in this section.</t>
  </si>
  <si>
    <t>Refer to PCI DSS Security Standards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</si>
  <si>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</si>
  <si>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</si>
  <si>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</si>
  <si>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Do you have documented information security policy?</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</si>
  <si>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</si>
  <si>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</si>
  <si>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</si>
  <si>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Will any institution data leave the Institution's Data Zone?</t>
  </si>
  <si>
    <t>If outsourced or co-located, is there a contract in place to prevent data from leaving the Institution's Data Zone?</t>
  </si>
  <si>
    <t>Are any disaster recovery locations outside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</si>
  <si>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</si>
  <si>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</si>
  <si>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</si>
  <si>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HECVAT: Assessment Summary Report</t>
  </si>
  <si>
    <t>HECVAT: Assessment Report for Analysts</t>
  </si>
  <si>
    <t>Vendor Email Address</t>
  </si>
  <si>
    <t>Vendor</t>
  </si>
  <si>
    <t>Description</t>
  </si>
  <si>
    <t>Product</t>
  </si>
  <si>
    <t>Institution's Security Framework</t>
  </si>
  <si>
    <t>For Institution's Security Analysts</t>
  </si>
  <si>
    <t>Ensure that all elements of MAPP-11  are clearly stated in your response.</t>
  </si>
  <si>
    <t>Ensure that all elements of THRD-01 are clearly stated in your response.</t>
  </si>
  <si>
    <t>If more space is needed to sufficiently answer this question, provide reference to the document or add it as an appendix.</t>
  </si>
  <si>
    <t>Provide sufficient detail for each legal agreement in place.</t>
  </si>
  <si>
    <t>Robust answers from the vendor improve the quality and efficiency of the security assessment process.</t>
  </si>
  <si>
    <t>State the ISP provider(s) in addition to the number of ISPs that provide connectivity.</t>
  </si>
  <si>
    <t>State the party that performed the vulnerability test and the date it was conducted?</t>
  </si>
  <si>
    <t>Have your applications had an external vulnerability assessment in the last year?</t>
  </si>
  <si>
    <t>Have your systems had an external vulnerability assessment in the last year?</t>
  </si>
  <si>
    <t>Brief Description of the Product</t>
  </si>
  <si>
    <t>Institution</t>
  </si>
  <si>
    <t>Any school, college, or university using the Higher Education Cloud Vendor Assessment Tool</t>
  </si>
  <si>
    <t>Proceed to the next tab, Instructions.</t>
  </si>
  <si>
    <t>Do you conform with a specific industry standard security framework? (e.g. NIST Cybersecurity Framework, ISO 27001, etc.)</t>
  </si>
  <si>
    <t>Do backups containing the institution's data ever leave the Institution's Data Zone either physically or via network routing?</t>
  </si>
  <si>
    <t>Is your company subject to Institution's Data Zone laws and regulations?</t>
  </si>
  <si>
    <t xml:space="preserve">List all datacenters and the cities, states (provinces), and countries where the Institution's data will be stored (including within the Institution's Data Zone).   </t>
  </si>
  <si>
    <t>mm/dd/yyyy</t>
  </si>
  <si>
    <t>Higher Education Cloud Vendor Assessment Tool - Instructions</t>
  </si>
  <si>
    <t>v2.00</t>
  </si>
  <si>
    <t>Data Reporting</t>
  </si>
  <si>
    <t xml:space="preserve">Raw vendor answers can be viewed in the Cloud Vendor Assessment Tool tab. To begin your assessment, review the Analyst Report tab, ensuring that you select the appropriate security standard used in your institution (cell B7) before you begin. Select complaince states for the outstanding non-compliant or short-answer questions in column G. Once all subjective questions are evaluated and compliance indicated, move to the Summary Report tab. To update the report's data, select Refresh All in the Data menu. Review details in the Summary Report and based on your assessment, follow-up with vendor for clarification(s) or add the Summary Report output to your Institution's reporting documents. </t>
  </si>
  <si>
    <t>Vendor Data Zone</t>
  </si>
  <si>
    <t>Institution Data Zone</t>
  </si>
  <si>
    <t>The country/region in which a vendor is headquartered and/or serves its products/services, including all laws and regulations in-scope within that country/region.</t>
  </si>
  <si>
    <t>Definitions and Data Zones</t>
  </si>
  <si>
    <t>GNRL-11 and GNRL-12; populated by the Institution's Security Office</t>
  </si>
  <si>
    <t>GNRL-11</t>
  </si>
  <si>
    <t>GNRL-12</t>
  </si>
  <si>
    <t>See Instructions tab for guidance</t>
  </si>
  <si>
    <t>Does your organization conduct an annual test of relocating to an alternate site for business recovery purposes?</t>
  </si>
  <si>
    <t>Do you have a media handling process, that is documented and currently implemented, including end-of-life, repurposing, and data sanitization procedures?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</si>
  <si>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</si>
  <si>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</si>
  <si>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</si>
  <si>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Does your organization have physical security controls and policies in place?</t>
  </si>
  <si>
    <t>Can you share the organization chart, mission statement, and policies for your information security unit?</t>
  </si>
  <si>
    <t>Do you have a systems management and configuration strategy that encompasses servers, appliances, and mobile devices (company and employee owned)?</t>
  </si>
  <si>
    <t>Does your web-based interface support authentication, including standards-based single-sign-on? (e.g. InCommon)</t>
  </si>
  <si>
    <t>Proceed to the next tab, HECVAT.</t>
  </si>
  <si>
    <r>
      <t xml:space="preserve">There are five main sections of the Higher Education Cloud Vendor Assessment Tool,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tab</t>
    </r>
    <r>
      <rPr>
        <sz val="11"/>
        <color rgb="FF000000"/>
        <rFont val="Verdana"/>
        <family val="2"/>
      </rPr>
      <t>.</t>
    </r>
  </si>
  <si>
    <t>Higher Education Cloud Vendor Assessment Tool - Change Log</t>
  </si>
  <si>
    <t>Does the process described in DATA-23 adhere to DoD 5220.22-M and/or NIST SP 800-88 standards?</t>
  </si>
  <si>
    <t>Major revision. Visit https://www.educause.edu/hecvat for details.</t>
  </si>
  <si>
    <t>Will the consultant require access to institution's network resources?</t>
  </si>
  <si>
    <t>Will the consultant require an account within the institution's domain (@*.edu)?</t>
  </si>
  <si>
    <t>Will the consultant need remote access to the institution's network or systems?</t>
  </si>
  <si>
    <t>May the institution review your BCP and supporting documentation?</t>
  </si>
  <si>
    <t>Will the institution be notified of major changes to your environment that could impact the institution's security posture?</t>
  </si>
  <si>
    <t>Is institution involvement (i.e. technically or organizationally) required during product updates?</t>
  </si>
  <si>
    <t>Do you physically and logically separate institution's data from that of other customers?</t>
  </si>
  <si>
    <t>Will institution's data be stored on any devices (database servers, file servers, SAN, NAS, …) configured with non-RFC 1918/4193 (i.e. publicly routable) IP addresses?</t>
  </si>
  <si>
    <t>Do backups containing the institution's data ever leave the institution's Data Zone either physically or via network routing?</t>
  </si>
  <si>
    <t>Does your company own the physical data center where the institution's data will reside?</t>
  </si>
  <si>
    <t>Does this data center operate outside of the institution's Data Zone?</t>
  </si>
  <si>
    <t>Will any institution data leave the institution's Data Zone?</t>
  </si>
  <si>
    <t xml:space="preserve">List all datacenters and the cities, states (provinces), and countries where the institution's data will be stored (including within the institution's Data Zone).   </t>
  </si>
  <si>
    <t>If outsourced or co-located, is there a contract in place to prevent data from leaving the institution's Data Zone?</t>
  </si>
  <si>
    <t>Does every datacenter where the institution's data will reside have multiple telephone company or network provider entrances to the facility?</t>
  </si>
  <si>
    <t>Can the institution review your DRP and supporting documentation?</t>
  </si>
  <si>
    <t>Are any disaster recovery locations outside the institution's Data Zone?</t>
  </si>
  <si>
    <t>Is institution's data encrypted in transport?</t>
  </si>
  <si>
    <t>Is institution's data encrypted in storage? (e.g. disk encryption, at-rest)</t>
  </si>
  <si>
    <t>Will any of these systems be implemented on systems hosting the institution's data?</t>
  </si>
  <si>
    <t>Are employees allowed to take home institution's data in any form?</t>
  </si>
  <si>
    <t>Will you comply with the institution's IT policies with regards to user privacy and data protection?</t>
  </si>
  <si>
    <t>Is your company subject to institution's Data Zone laws and regulations?</t>
  </si>
  <si>
    <t>Have you supplied products and/or services to the institution (or its Campuses) in the last five years?</t>
  </si>
  <si>
    <t>Will you provide results of security scans to the institution?</t>
  </si>
  <si>
    <t>Is your company a consulting firm providing only consultation to the institution?</t>
  </si>
  <si>
    <t>Will the consultant require access to hardware in the institution's data centers?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</si>
  <si>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</si>
  <si>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This section is self-explanatory; product specifics and contact information. GNRL-01 through GNRL-10 should be populated by the Vendor. GNRL-11 and GNRL-12 are for institution use only.</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</si>
  <si>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</si>
  <si>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</si>
  <si>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</si>
  <si>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</si>
  <si>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</si>
  <si>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</si>
  <si>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</si>
  <si>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</si>
  <si>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</si>
  <si>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</si>
  <si>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</si>
  <si>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</si>
  <si>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</si>
  <si>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</si>
  <si>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</si>
  <si>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Version 2.04</t>
  </si>
  <si>
    <t>Information Security</t>
  </si>
  <si>
    <t>IS@utrgv.edu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</si>
</sst>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61"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u/>
      <sz val="12"/>
      <color theme="10"/>
      <name val="Verdana"/>
      <family val="2"/>
    </font>
    <font>
      <b/>
      <sz val="11"/>
      <color rgb="FFFF0000"/>
      <name val="Verdana"/>
      <family val="2"/>
    </font>
    <font>
      <b/>
      <sz val="14"/>
      <color rgb="FFFFFFFF"/>
      <name val="Verdana"/>
      <family val="2"/>
    </font>
    <font>
      <sz val="11"/>
      <color rgb="FF000000"/>
      <name val="Arial"/>
      <family val="2"/>
    </font>
    <font>
      <sz val="11"/>
      <color indexed="8"/>
      <name val="Verdana"/>
      <family val="2"/>
    </font>
    <font>
      <sz val="11"/>
      <color rgb="FF000000"/>
      <name val="Verdana"/>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s>
  <fills count="21">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s>
  <borders count="2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9" fontId="17" fillId="0" borderId="0" applyFont="0" applyFill="0" applyBorder="0" applyAlignment="0" applyProtection="0"/>
    <xf numFmtId="0" fontId="46"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24">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16" fillId="0" borderId="0" xfId="1" applyFont="1" applyAlignment="1"/>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4" borderId="3" xfId="0" applyNumberFormat="1" applyFont="1" applyFill="1" applyBorder="1" applyAlignment="1">
      <alignment vertical="center"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0" borderId="0" xfId="0" applyFont="1" applyAlignment="1">
      <alignment vertical="top" wrapText="1"/>
    </xf>
    <xf numFmtId="165" fontId="38" fillId="0" borderId="0" xfId="0" applyNumberFormat="1" applyFont="1" applyAlignment="1">
      <alignment vertical="top" wrapText="1"/>
    </xf>
    <xf numFmtId="0" fontId="26" fillId="0" borderId="0" xfId="0" applyFont="1" applyBorder="1" applyAlignment="1"/>
    <xf numFmtId="0" fontId="26" fillId="0" borderId="0" xfId="0" applyFont="1" applyBorder="1" applyAlignment="1">
      <alignment horizontal="center"/>
    </xf>
    <xf numFmtId="0" fontId="26" fillId="9" borderId="0" xfId="0" applyFont="1" applyFill="1" applyBorder="1" applyAlignment="1">
      <alignment horizontal="center"/>
    </xf>
    <xf numFmtId="0" fontId="41" fillId="10" borderId="0" xfId="0" applyFont="1" applyFill="1" applyBorder="1" applyAlignment="1"/>
    <xf numFmtId="0" fontId="26" fillId="0" borderId="8" xfId="0" applyFont="1" applyBorder="1" applyAlignment="1">
      <alignment wrapText="1"/>
    </xf>
    <xf numFmtId="0" fontId="26" fillId="0" borderId="0" xfId="0" applyFont="1" applyAlignment="1">
      <alignment vertical="top" wrapText="1"/>
    </xf>
    <xf numFmtId="0" fontId="38" fillId="0" borderId="8" xfId="0" applyFont="1" applyBorder="1" applyAlignment="1">
      <alignment horizontal="center" wrapText="1"/>
    </xf>
    <xf numFmtId="0" fontId="38" fillId="0" borderId="8" xfId="0" applyFont="1" applyBorder="1" applyAlignment="1">
      <alignment wrapText="1"/>
    </xf>
    <xf numFmtId="0" fontId="38" fillId="0" borderId="8" xfId="0" applyFont="1" applyBorder="1" applyAlignment="1">
      <alignment horizontal="right" wrapText="1"/>
    </xf>
    <xf numFmtId="0" fontId="42"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0" borderId="0" xfId="0" applyFont="1" applyFill="1" applyBorder="1" applyAlignment="1">
      <alignment vertical="top"/>
    </xf>
    <xf numFmtId="0" fontId="26" fillId="9" borderId="8" xfId="0" applyFont="1" applyFill="1" applyBorder="1" applyAlignment="1">
      <alignment wrapText="1"/>
    </xf>
    <xf numFmtId="0" fontId="26" fillId="0" borderId="7" xfId="0" applyFont="1" applyFill="1" applyBorder="1" applyAlignment="1">
      <alignment vertical="top"/>
    </xf>
    <xf numFmtId="0" fontId="26" fillId="0" borderId="7" xfId="0" applyFont="1" applyBorder="1" applyAlignment="1">
      <alignment vertical="top"/>
    </xf>
    <xf numFmtId="10" fontId="26" fillId="0" borderId="7" xfId="0" applyNumberFormat="1" applyFont="1" applyBorder="1" applyAlignment="1">
      <alignment vertical="top"/>
    </xf>
    <xf numFmtId="0" fontId="26" fillId="0" borderId="7" xfId="0" applyFont="1" applyBorder="1" applyAlignment="1"/>
    <xf numFmtId="0" fontId="26" fillId="0" borderId="0" xfId="0" applyFont="1" applyFill="1" applyAlignment="1">
      <alignment vertical="top"/>
    </xf>
    <xf numFmtId="0" fontId="26" fillId="0" borderId="0" xfId="0" applyFont="1" applyAlignment="1">
      <alignment vertical="top"/>
    </xf>
    <xf numFmtId="0" fontId="43"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9" fontId="38" fillId="0" borderId="0" xfId="14" applyFont="1" applyAlignment="1">
      <alignment vertical="top"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10" fontId="26" fillId="0" borderId="0" xfId="0" applyNumberFormat="1" applyFont="1" applyFill="1" applyAlignment="1">
      <alignment vertical="top"/>
    </xf>
    <xf numFmtId="49" fontId="37" fillId="0" borderId="3" xfId="0" applyNumberFormat="1" applyFont="1" applyFill="1" applyBorder="1" applyAlignment="1">
      <alignment horizontal="center"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9"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50" fillId="0" borderId="0" xfId="0" applyFont="1" applyAlignment="1">
      <alignment vertical="top" wrapText="1"/>
    </xf>
    <xf numFmtId="0" fontId="51" fillId="0" borderId="8" xfId="0" applyFont="1" applyBorder="1" applyAlignment="1">
      <alignment wrapText="1"/>
    </xf>
    <xf numFmtId="0" fontId="51" fillId="0" borderId="0" xfId="0" applyFont="1" applyAlignment="1">
      <alignment vertical="top" wrapText="1"/>
    </xf>
    <xf numFmtId="0" fontId="50" fillId="0" borderId="8" xfId="0" applyFont="1" applyBorder="1" applyAlignment="1">
      <alignment horizontal="center" wrapText="1"/>
    </xf>
    <xf numFmtId="0" fontId="51" fillId="9" borderId="8" xfId="0" applyFont="1" applyFill="1" applyBorder="1" applyAlignment="1">
      <alignment wrapText="1"/>
    </xf>
    <xf numFmtId="0" fontId="50" fillId="0" borderId="8" xfId="0" applyFont="1" applyBorder="1" applyAlignment="1">
      <alignment wrapText="1"/>
    </xf>
    <xf numFmtId="0" fontId="50" fillId="0" borderId="8" xfId="0" applyFont="1" applyBorder="1" applyAlignment="1">
      <alignment horizontal="right" wrapText="1"/>
    </xf>
    <xf numFmtId="165" fontId="50" fillId="0" borderId="0" xfId="0" applyNumberFormat="1" applyFont="1" applyAlignment="1">
      <alignment vertical="top" wrapText="1"/>
    </xf>
    <xf numFmtId="0" fontId="50" fillId="0" borderId="0" xfId="0" applyFont="1" applyBorder="1" applyAlignment="1">
      <alignment vertical="top" wrapText="1"/>
    </xf>
    <xf numFmtId="0" fontId="51" fillId="0" borderId="13" xfId="0" applyFont="1" applyBorder="1" applyAlignment="1">
      <alignment wrapText="1"/>
    </xf>
    <xf numFmtId="0" fontId="51" fillId="0" borderId="0" xfId="0" applyFont="1" applyBorder="1" applyAlignment="1">
      <alignment vertical="top" wrapText="1"/>
    </xf>
    <xf numFmtId="0" fontId="50" fillId="0" borderId="13" xfId="0" applyFont="1" applyBorder="1" applyAlignment="1">
      <alignment horizontal="center" wrapText="1"/>
    </xf>
    <xf numFmtId="0" fontId="51" fillId="9" borderId="13" xfId="0" applyFont="1" applyFill="1" applyBorder="1" applyAlignment="1">
      <alignment wrapText="1"/>
    </xf>
    <xf numFmtId="0" fontId="50" fillId="0" borderId="13" xfId="0" applyFont="1" applyBorder="1" applyAlignment="1">
      <alignment wrapText="1"/>
    </xf>
    <xf numFmtId="0" fontId="50" fillId="0" borderId="13" xfId="0" applyFont="1" applyBorder="1" applyAlignment="1">
      <alignment horizontal="right" wrapText="1"/>
    </xf>
    <xf numFmtId="165" fontId="50" fillId="0" borderId="0" xfId="0" applyNumberFormat="1" applyFont="1" applyBorder="1" applyAlignment="1">
      <alignment vertical="top"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7" fillId="9" borderId="3" xfId="0" applyFont="1" applyFill="1" applyBorder="1" applyAlignment="1">
      <alignment vertical="center" wrapText="1"/>
    </xf>
    <xf numFmtId="0" fontId="38" fillId="9" borderId="3" xfId="0" applyFont="1" applyFill="1" applyBorder="1" applyAlignment="1">
      <alignment vertical="center" wrapText="1"/>
    </xf>
    <xf numFmtId="0" fontId="44" fillId="9" borderId="3" xfId="0" applyFont="1" applyFill="1" applyBorder="1" applyAlignment="1">
      <alignment vertical="center" wrapText="1"/>
    </xf>
    <xf numFmtId="0" fontId="35" fillId="9" borderId="3" xfId="0" applyFont="1" applyFill="1" applyBorder="1" applyAlignment="1">
      <alignment vertical="center" wrapText="1"/>
    </xf>
    <xf numFmtId="0" fontId="46" fillId="9" borderId="3" xfId="15" applyFill="1" applyBorder="1" applyAlignment="1">
      <alignment vertical="center" wrapText="1"/>
    </xf>
    <xf numFmtId="0" fontId="26" fillId="8" borderId="3" xfId="0" applyFont="1" applyFill="1" applyBorder="1" applyAlignment="1">
      <alignment vertical="center"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54"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NumberFormat="1"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48" fillId="6"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35" fillId="13" borderId="3" xfId="0" applyFont="1" applyFill="1" applyBorder="1" applyAlignment="1">
      <alignment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6"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8"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20" xfId="0" applyFont="1" applyBorder="1" applyAlignment="1">
      <alignment vertical="center" wrapText="1"/>
    </xf>
    <xf numFmtId="0" fontId="39" fillId="0" borderId="21" xfId="0" applyFont="1" applyBorder="1" applyAlignment="1">
      <alignment vertical="center" wrapText="1"/>
    </xf>
    <xf numFmtId="0" fontId="25" fillId="0" borderId="21" xfId="0" applyFont="1" applyBorder="1" applyAlignment="1">
      <alignment vertical="center" wrapText="1"/>
    </xf>
    <xf numFmtId="0" fontId="39" fillId="0" borderId="22" xfId="0" applyFont="1" applyBorder="1" applyAlignment="1">
      <alignment vertical="center" wrapText="1"/>
    </xf>
    <xf numFmtId="0" fontId="1" fillId="0" borderId="3" xfId="0" applyFont="1" applyFill="1" applyBorder="1" applyAlignment="1">
      <alignment vertical="center" wrapText="1"/>
    </xf>
    <xf numFmtId="0" fontId="26"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8" fillId="0" borderId="0" xfId="0" applyFont="1" applyFill="1" applyBorder="1" applyAlignment="1">
      <alignment vertical="center" wrapText="1"/>
    </xf>
    <xf numFmtId="0" fontId="59" fillId="0" borderId="0" xfId="0" applyFont="1" applyAlignment="1"/>
    <xf numFmtId="0" fontId="25" fillId="0" borderId="0" xfId="0" applyFont="1" applyAlignment="1"/>
    <xf numFmtId="0" fontId="57"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43" fillId="0" borderId="0" xfId="0" pivotButton="1" applyFont="1" applyAlignment="1">
      <alignment vertical="top" wrapText="1"/>
    </xf>
    <xf numFmtId="0" fontId="43" fillId="0" borderId="0" xfId="0" applyFont="1" applyAlignment="1">
      <alignment horizontal="left" vertical="top" wrapText="1"/>
    </xf>
    <xf numFmtId="165" fontId="43" fillId="0" borderId="0" xfId="0" applyNumberFormat="1" applyFont="1" applyAlignment="1">
      <alignment horizontal="lef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8" xfId="0" applyFont="1" applyBorder="1" applyAlignment="1">
      <alignment vertical="center" wrapText="1"/>
    </xf>
    <xf numFmtId="0" fontId="39"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14" fontId="0" fillId="0" borderId="0" xfId="0" applyNumberFormat="1" applyFont="1" applyAlignment="1">
      <alignment horizontal="left" vertical="top"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53" fillId="17" borderId="3" xfId="17" applyFont="1" applyFill="1" applyBorder="1" applyAlignment="1">
      <alignment horizontal="left" vertical="center" wrapText="1"/>
    </xf>
    <xf numFmtId="0" fontId="12" fillId="16" borderId="1" xfId="0" applyFont="1" applyFill="1" applyBorder="1" applyAlignment="1">
      <alignment horizontal="left" vertical="center" wrapText="1"/>
    </xf>
    <xf numFmtId="0" fontId="12" fillId="16" borderId="2" xfId="0" applyFont="1" applyFill="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53" fillId="17"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26" fillId="9" borderId="3" xfId="0" applyFont="1" applyFill="1" applyBorder="1" applyAlignment="1">
      <alignment vertical="center" wrapText="1"/>
    </xf>
    <xf numFmtId="0" fontId="38" fillId="9" borderId="3" xfId="0" applyFont="1" applyFill="1" applyBorder="1" applyAlignment="1">
      <alignment vertical="center" wrapText="1"/>
    </xf>
    <xf numFmtId="0" fontId="7" fillId="16"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38"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9" fillId="0" borderId="18"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4" borderId="3" xfId="0" applyFont="1" applyFill="1" applyBorder="1" applyAlignment="1">
      <alignment horizontal="left" vertical="center" wrapText="1"/>
    </xf>
    <xf numFmtId="0" fontId="54" fillId="0" borderId="0" xfId="0" applyFont="1" applyAlignment="1">
      <alignment horizontal="center" vertical="center" wrapText="1"/>
    </xf>
    <xf numFmtId="0" fontId="8" fillId="0" borderId="3"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5" fillId="5" borderId="1" xfId="0" applyFont="1" applyFill="1" applyBorder="1" applyAlignment="1">
      <alignment horizontal="left" vertical="center" wrapText="1"/>
    </xf>
    <xf numFmtId="0" fontId="45" fillId="5" borderId="4"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58" fillId="20" borderId="1" xfId="0" applyFont="1" applyFill="1" applyBorder="1" applyAlignment="1">
      <alignment horizontal="left" vertical="center" wrapText="1"/>
    </xf>
    <xf numFmtId="0" fontId="58" fillId="20" borderId="4" xfId="0" applyFont="1" applyFill="1" applyBorder="1" applyAlignment="1">
      <alignment horizontal="left" vertical="center" wrapText="1"/>
    </xf>
    <xf numFmtId="0" fontId="58" fillId="20" borderId="2" xfId="0" applyFont="1" applyFill="1" applyBorder="1" applyAlignment="1">
      <alignment horizontal="left" vertical="center" wrapText="1"/>
    </xf>
    <xf numFmtId="0" fontId="60" fillId="8" borderId="1" xfId="0" applyFont="1" applyFill="1" applyBorder="1" applyAlignment="1">
      <alignment horizontal="left" vertical="center" wrapText="1"/>
    </xf>
    <xf numFmtId="0" fontId="60" fillId="8" borderId="4" xfId="0" applyFont="1" applyFill="1" applyBorder="1" applyAlignment="1">
      <alignment horizontal="left" vertical="center" wrapText="1"/>
    </xf>
    <xf numFmtId="0" fontId="60" fillId="8" borderId="2" xfId="0" applyFont="1" applyFill="1" applyBorder="1" applyAlignment="1">
      <alignment horizontal="left" vertical="center" wrapText="1"/>
    </xf>
    <xf numFmtId="0" fontId="0" fillId="4" borderId="3" xfId="0" applyNumberFormat="1" applyFill="1" applyBorder="1">
      <alignment vertical="top" wrapText="1"/>
    </xf>
    <xf numFmtId="0" fontId="46" fillId="4" borderId="3" xfId="15" applyNumberFormat="1" applyFill="1" applyBorder="1">
      <alignment vertical="top"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738">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owerPivotData" Target="model/item.data"/><Relationship Id="rId26"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customXml" Target="../customXml/item2.xml"/><Relationship Id="rId34" Type="http://schemas.openxmlformats.org/officeDocument/2006/relationships/customXml" Target="../customXml/item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29"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calcChain" Target="calcChain.xml"/><Relationship Id="rId31"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50800</xdr:rowOff>
    </xdr:from>
    <xdr:ext cx="7350308" cy="8255000"/>
    <xdr:sp macro="" textlink="">
      <xdr:nvSpPr>
        <xdr:cNvPr id="2" name="TextBox 1">
          <a:extLst>
            <a:ext uri="{FF2B5EF4-FFF2-40B4-BE49-F238E27FC236}">
              <a16:creationId xmlns:a16="http://schemas.microsoft.com/office/drawing/2014/main" id="{9792CA6C-EF06-5840-BCE7-A195889EDFF8}"/>
            </a:ext>
          </a:extLst>
        </xdr:cNvPr>
        <xdr:cNvSpPr txBox="1"/>
      </xdr:nvSpPr>
      <xdr:spPr>
        <a:xfrm>
          <a:off x="0" y="749300"/>
          <a:ext cx="7350308" cy="825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solidFill>
                <a:schemeClr val="tx1"/>
              </a:solidFill>
              <a:effectLst/>
              <a:latin typeface="Verdana" panose="020B0604030504040204" pitchFamily="34" charset="0"/>
              <a:ea typeface="Verdana" panose="020B0604030504040204" pitchFamily="34" charset="0"/>
              <a:cs typeface="Verdana" panose="020B0604030504040204" pitchFamily="34" charset="0"/>
            </a:rPr>
            <a:t>Shared Assessments Introduction</a:t>
          </a:r>
          <a:endParaRPr lang="en-US" sz="1600">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r>
            <a:rPr lang="en-US" sz="110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HECVAT</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attempts to generalize higher education information security and data protection questions and issues for consistency and ease of use. Some institutions may have specific issues that must be addressed in addition to the general questions provided in this assessment. It is anticipated that this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will be revised over time to account for changes in cloud services provisioning and the information security and data protection needs of higher education institutions.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Higher Education Cloud Vendor Assessment Tool:</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 Helps higher education institutions ensure that cloud services are appropriately assessed for security and privacy needs, including some that are unique to higher education</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Allows a consistent, easily-adopted methodology for campuses wishing to reduce costs through cloud services without increasing risks</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Reduces the burden that cloud service providers face in responding to requests for security assessments from higher education institutions</a:t>
          </a: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was created by the Higher Education Information Security Council Shared Assessments Working Group.  Its purpose is to provide a starting point for the assessment of third-party provided cloud services and resources.  Over time, the Shared Assessments Working Group hopes to create a framework that will establish a community resource where institutions and cloud services providers will share completed Higher Education Cloud Vendor Assessment Tool assessments.</a:t>
          </a:r>
        </a:p>
        <a:p>
          <a:pPr rtl="0"/>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a:pPr>
          <a:r>
            <a:rPr lang="en-US" sz="1200" b="1">
              <a:solidFill>
                <a:schemeClr val="tx1"/>
              </a:solidFill>
              <a:effectLst/>
              <a:latin typeface="Verdana" panose="020B0604030504040204" pitchFamily="34" charset="0"/>
              <a:ea typeface="Verdana" panose="020B0604030504040204" pitchFamily="34" charset="0"/>
              <a:cs typeface="Verdana" panose="020B0604030504040204" pitchFamily="34" charset="0"/>
            </a:rPr>
            <a:t>https://www.educause.edu/hecvat</a:t>
          </a:r>
        </a:p>
        <a:p>
          <a:pPr algn="ctr" rtl="0"/>
          <a:r>
            <a:rPr lang="en-US" sz="1200" b="1">
              <a:effectLst/>
              <a:latin typeface="Verdana" panose="020B0604030504040204" pitchFamily="34" charset="0"/>
              <a:ea typeface="Verdana" panose="020B0604030504040204" pitchFamily="34" charset="0"/>
              <a:cs typeface="Verdana" panose="020B0604030504040204" pitchFamily="34" charset="0"/>
            </a:rPr>
            <a:t>https://www.ren-isac.net/hecvat</a:t>
          </a: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 EDUCAUSE 2018</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work is licensed under a Creative Commons Attribution-Noncommercial-ShareAlike 4.0 International License (CC BY-NC-SA 4.0).</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a:t>
          </a:r>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is brought to you by the Higher Education Information Security Council, and members from EDUCAUSE, Internet2, and the Research and Education Networking Information Sharing and Analysis Center (REN-ISAC).</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7523069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3" name="Picture 4">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1315700"/>
    <xdr:sp macro="" textlink="">
      <xdr:nvSpPr>
        <xdr:cNvPr id="4" name="TextBox 3">
          <a:extLst>
            <a:ext uri="{FF2B5EF4-FFF2-40B4-BE49-F238E27FC236}">
              <a16:creationId xmlns:a16="http://schemas.microsoft.com/office/drawing/2014/main" id="{0986914E-ABF4-1345-928A-D8B43A0F9DA1}"/>
            </a:ext>
          </a:extLst>
        </xdr:cNvPr>
        <xdr:cNvSpPr txBox="1"/>
      </xdr:nvSpPr>
      <xdr:spPr>
        <a:xfrm>
          <a:off x="88900" y="63500"/>
          <a:ext cx="7612588" cy="11315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3487.613428819444" createdVersion="6" refreshedVersion="6" minRefreshableVersion="3" recordCount="267" xr:uid="{00000000-000A-0000-FFFF-FFFF00000000}">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2389">
      <pivotArea type="all" dataOnly="0" outline="0" fieldPosition="0"/>
    </format>
    <format dxfId="2388">
      <pivotArea field="0" type="button" dataOnly="0" labelOnly="1" outline="0" axis="axisRow" fieldPosition="0"/>
    </format>
    <format dxfId="2387">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38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385">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384">
      <pivotArea dataOnly="0" labelOnly="1" fieldPosition="0">
        <references count="1">
          <reference field="0" count="18">
            <x v="225"/>
            <x v="226"/>
            <x v="227"/>
            <x v="228"/>
            <x v="229"/>
            <x v="230"/>
            <x v="231"/>
            <x v="232"/>
            <x v="233"/>
            <x v="234"/>
            <x v="235"/>
            <x v="236"/>
            <x v="237"/>
            <x v="238"/>
            <x v="239"/>
            <x v="240"/>
            <x v="241"/>
            <x v="242"/>
          </reference>
        </references>
      </pivotArea>
    </format>
    <format dxfId="2383">
      <pivotArea dataOnly="0" labelOnly="1" grandRow="1" outline="0" fieldPosition="0"/>
    </format>
    <format dxfId="2382">
      <pivotArea dataOnly="0" labelOnly="1" fieldPosition="0">
        <references count="2">
          <reference field="0" count="1" selected="0">
            <x v="0"/>
          </reference>
          <reference field="1" count="1">
            <x v="228"/>
          </reference>
        </references>
      </pivotArea>
    </format>
    <format dxfId="2381">
      <pivotArea dataOnly="0" labelOnly="1" fieldPosition="0">
        <references count="2">
          <reference field="0" count="1" selected="0">
            <x v="2"/>
          </reference>
          <reference field="1" count="1">
            <x v="230"/>
          </reference>
        </references>
      </pivotArea>
    </format>
    <format dxfId="2380">
      <pivotArea dataOnly="0" labelOnly="1" fieldPosition="0">
        <references count="2">
          <reference field="0" count="1" selected="0">
            <x v="3"/>
          </reference>
          <reference field="1" count="1">
            <x v="231"/>
          </reference>
        </references>
      </pivotArea>
    </format>
    <format dxfId="2379">
      <pivotArea dataOnly="0" labelOnly="1" fieldPosition="0">
        <references count="2">
          <reference field="0" count="1" selected="0">
            <x v="4"/>
          </reference>
          <reference field="1" count="1">
            <x v="232"/>
          </reference>
        </references>
      </pivotArea>
    </format>
    <format dxfId="2378">
      <pivotArea dataOnly="0" labelOnly="1" fieldPosition="0">
        <references count="2">
          <reference field="0" count="1" selected="0">
            <x v="5"/>
          </reference>
          <reference field="1" count="1">
            <x v="233"/>
          </reference>
        </references>
      </pivotArea>
    </format>
    <format dxfId="2377">
      <pivotArea dataOnly="0" labelOnly="1" fieldPosition="0">
        <references count="2">
          <reference field="0" count="1" selected="0">
            <x v="7"/>
          </reference>
          <reference field="1" count="1">
            <x v="118"/>
          </reference>
        </references>
      </pivotArea>
    </format>
    <format dxfId="2376">
      <pivotArea dataOnly="0" labelOnly="1" fieldPosition="0">
        <references count="2">
          <reference field="0" count="1" selected="0">
            <x v="9"/>
          </reference>
          <reference field="1" count="1">
            <x v="120"/>
          </reference>
        </references>
      </pivotArea>
    </format>
    <format dxfId="2375">
      <pivotArea dataOnly="0" labelOnly="1" fieldPosition="0">
        <references count="2">
          <reference field="0" count="1" selected="0">
            <x v="10"/>
          </reference>
          <reference field="1" count="1">
            <x v="121"/>
          </reference>
        </references>
      </pivotArea>
    </format>
    <format dxfId="2374">
      <pivotArea dataOnly="0" labelOnly="1" fieldPosition="0">
        <references count="2">
          <reference field="0" count="1" selected="0">
            <x v="11"/>
          </reference>
          <reference field="1" count="1">
            <x v="122"/>
          </reference>
        </references>
      </pivotArea>
    </format>
    <format dxfId="2373">
      <pivotArea dataOnly="0" labelOnly="1" fieldPosition="0">
        <references count="2">
          <reference field="0" count="1" selected="0">
            <x v="12"/>
          </reference>
          <reference field="1" count="1">
            <x v="123"/>
          </reference>
        </references>
      </pivotArea>
    </format>
    <format dxfId="2372">
      <pivotArea dataOnly="0" labelOnly="1" fieldPosition="0">
        <references count="2">
          <reference field="0" count="1" selected="0">
            <x v="16"/>
          </reference>
          <reference field="1" count="1">
            <x v="64"/>
          </reference>
        </references>
      </pivotArea>
    </format>
    <format dxfId="2371">
      <pivotArea dataOnly="0" labelOnly="1" fieldPosition="0">
        <references count="2">
          <reference field="0" count="1" selected="0">
            <x v="18"/>
          </reference>
          <reference field="1" count="1">
            <x v="66"/>
          </reference>
        </references>
      </pivotArea>
    </format>
    <format dxfId="2370">
      <pivotArea dataOnly="0" labelOnly="1" fieldPosition="0">
        <references count="2">
          <reference field="0" count="1" selected="0">
            <x v="22"/>
          </reference>
          <reference field="1" count="1">
            <x v="19"/>
          </reference>
        </references>
      </pivotArea>
    </format>
    <format dxfId="2369">
      <pivotArea dataOnly="0" labelOnly="1" fieldPosition="0">
        <references count="2">
          <reference field="0" count="1" selected="0">
            <x v="25"/>
          </reference>
          <reference field="1" count="1">
            <x v="22"/>
          </reference>
        </references>
      </pivotArea>
    </format>
    <format dxfId="2368">
      <pivotArea dataOnly="0" labelOnly="1" fieldPosition="0">
        <references count="2">
          <reference field="0" count="1" selected="0">
            <x v="26"/>
          </reference>
          <reference field="1" count="1">
            <x v="23"/>
          </reference>
        </references>
      </pivotArea>
    </format>
    <format dxfId="2367">
      <pivotArea dataOnly="0" labelOnly="1" fieldPosition="0">
        <references count="2">
          <reference field="0" count="1" selected="0">
            <x v="28"/>
          </reference>
          <reference field="1" count="1">
            <x v="25"/>
          </reference>
        </references>
      </pivotArea>
    </format>
    <format dxfId="2366">
      <pivotArea dataOnly="0" labelOnly="1" fieldPosition="0">
        <references count="2">
          <reference field="0" count="1" selected="0">
            <x v="29"/>
          </reference>
          <reference field="1" count="1">
            <x v="26"/>
          </reference>
        </references>
      </pivotArea>
    </format>
    <format dxfId="2365">
      <pivotArea dataOnly="0" labelOnly="1" fieldPosition="0">
        <references count="2">
          <reference field="0" count="1" selected="0">
            <x v="30"/>
          </reference>
          <reference field="1" count="1">
            <x v="27"/>
          </reference>
        </references>
      </pivotArea>
    </format>
    <format dxfId="2364">
      <pivotArea dataOnly="0" labelOnly="1" fieldPosition="0">
        <references count="2">
          <reference field="0" count="1" selected="0">
            <x v="31"/>
          </reference>
          <reference field="1" count="1">
            <x v="28"/>
          </reference>
        </references>
      </pivotArea>
    </format>
    <format dxfId="2363">
      <pivotArea dataOnly="0" labelOnly="1" fieldPosition="0">
        <references count="2">
          <reference field="0" count="1" selected="0">
            <x v="35"/>
          </reference>
          <reference field="1" count="1">
            <x v="32"/>
          </reference>
        </references>
      </pivotArea>
    </format>
    <format dxfId="2362">
      <pivotArea dataOnly="0" labelOnly="1" fieldPosition="0">
        <references count="2">
          <reference field="0" count="1" selected="0">
            <x v="36"/>
          </reference>
          <reference field="1" count="1">
            <x v="33"/>
          </reference>
        </references>
      </pivotArea>
    </format>
    <format dxfId="2361">
      <pivotArea dataOnly="0" labelOnly="1" fieldPosition="0">
        <references count="2">
          <reference field="0" count="1" selected="0">
            <x v="37"/>
          </reference>
          <reference field="1" count="1">
            <x v="34"/>
          </reference>
        </references>
      </pivotArea>
    </format>
    <format dxfId="2360">
      <pivotArea dataOnly="0" labelOnly="1" fieldPosition="0">
        <references count="2">
          <reference field="0" count="1" selected="0">
            <x v="38"/>
          </reference>
          <reference field="1" count="1">
            <x v="0"/>
          </reference>
        </references>
      </pivotArea>
    </format>
    <format dxfId="2359">
      <pivotArea dataOnly="0" labelOnly="1" fieldPosition="0">
        <references count="2">
          <reference field="0" count="1" selected="0">
            <x v="39"/>
          </reference>
          <reference field="1" count="1">
            <x v="1"/>
          </reference>
        </references>
      </pivotArea>
    </format>
    <format dxfId="2358">
      <pivotArea dataOnly="0" labelOnly="1" fieldPosition="0">
        <references count="2">
          <reference field="0" count="1" selected="0">
            <x v="40"/>
          </reference>
          <reference field="1" count="1">
            <x v="2"/>
          </reference>
        </references>
      </pivotArea>
    </format>
    <format dxfId="2357">
      <pivotArea dataOnly="0" labelOnly="1" fieldPosition="0">
        <references count="2">
          <reference field="0" count="1" selected="0">
            <x v="41"/>
          </reference>
          <reference field="1" count="1">
            <x v="3"/>
          </reference>
        </references>
      </pivotArea>
    </format>
    <format dxfId="2356">
      <pivotArea dataOnly="0" labelOnly="1" fieldPosition="0">
        <references count="2">
          <reference field="0" count="1" selected="0">
            <x v="42"/>
          </reference>
          <reference field="1" count="1">
            <x v="4"/>
          </reference>
        </references>
      </pivotArea>
    </format>
    <format dxfId="2355">
      <pivotArea dataOnly="0" labelOnly="1" fieldPosition="0">
        <references count="2">
          <reference field="0" count="1" selected="0">
            <x v="43"/>
          </reference>
          <reference field="1" count="1">
            <x v="5"/>
          </reference>
        </references>
      </pivotArea>
    </format>
    <format dxfId="2354">
      <pivotArea dataOnly="0" labelOnly="1" fieldPosition="0">
        <references count="2">
          <reference field="0" count="1" selected="0">
            <x v="44"/>
          </reference>
          <reference field="1" count="1">
            <x v="6"/>
          </reference>
        </references>
      </pivotArea>
    </format>
    <format dxfId="2353">
      <pivotArea dataOnly="0" labelOnly="1" fieldPosition="0">
        <references count="2">
          <reference field="0" count="1" selected="0">
            <x v="45"/>
          </reference>
          <reference field="1" count="1">
            <x v="7"/>
          </reference>
        </references>
      </pivotArea>
    </format>
    <format dxfId="2352">
      <pivotArea dataOnly="0" labelOnly="1" fieldPosition="0">
        <references count="2">
          <reference field="0" count="1" selected="0">
            <x v="46"/>
          </reference>
          <reference field="1" count="1">
            <x v="8"/>
          </reference>
        </references>
      </pivotArea>
    </format>
    <format dxfId="2351">
      <pivotArea dataOnly="0" labelOnly="1" fieldPosition="0">
        <references count="2">
          <reference field="0" count="1" selected="0">
            <x v="47"/>
          </reference>
          <reference field="1" count="1">
            <x v="9"/>
          </reference>
        </references>
      </pivotArea>
    </format>
    <format dxfId="2350">
      <pivotArea dataOnly="0" labelOnly="1" fieldPosition="0">
        <references count="2">
          <reference field="0" count="1" selected="0">
            <x v="49"/>
          </reference>
          <reference field="1" count="1">
            <x v="11"/>
          </reference>
        </references>
      </pivotArea>
    </format>
    <format dxfId="2349">
      <pivotArea dataOnly="0" labelOnly="1" fieldPosition="0">
        <references count="2">
          <reference field="0" count="1" selected="0">
            <x v="55"/>
          </reference>
          <reference field="1" count="1">
            <x v="35"/>
          </reference>
        </references>
      </pivotArea>
    </format>
    <format dxfId="2348">
      <pivotArea dataOnly="0" labelOnly="1" fieldPosition="0">
        <references count="2">
          <reference field="0" count="1" selected="0">
            <x v="56"/>
          </reference>
          <reference field="1" count="1">
            <x v="36"/>
          </reference>
        </references>
      </pivotArea>
    </format>
    <format dxfId="2347">
      <pivotArea dataOnly="0" labelOnly="1" fieldPosition="0">
        <references count="2">
          <reference field="0" count="1" selected="0">
            <x v="62"/>
          </reference>
          <reference field="1" count="1">
            <x v="42"/>
          </reference>
        </references>
      </pivotArea>
    </format>
    <format dxfId="2346">
      <pivotArea dataOnly="0" labelOnly="1" fieldPosition="0">
        <references count="2">
          <reference field="0" count="1" selected="0">
            <x v="63"/>
          </reference>
          <reference field="1" count="1">
            <x v="43"/>
          </reference>
        </references>
      </pivotArea>
    </format>
    <format dxfId="2345">
      <pivotArea dataOnly="0" labelOnly="1" fieldPosition="0">
        <references count="2">
          <reference field="0" count="1" selected="0">
            <x v="64"/>
          </reference>
          <reference field="1" count="1">
            <x v="44"/>
          </reference>
        </references>
      </pivotArea>
    </format>
    <format dxfId="2344">
      <pivotArea dataOnly="0" labelOnly="1" fieldPosition="0">
        <references count="2">
          <reference field="0" count="1" selected="0">
            <x v="65"/>
          </reference>
          <reference field="1" count="1">
            <x v="45"/>
          </reference>
        </references>
      </pivotArea>
    </format>
    <format dxfId="2343">
      <pivotArea dataOnly="0" labelOnly="1" fieldPosition="0">
        <references count="2">
          <reference field="0" count="1" selected="0">
            <x v="66"/>
          </reference>
          <reference field="1" count="1">
            <x v="46"/>
          </reference>
        </references>
      </pivotArea>
    </format>
    <format dxfId="2342">
      <pivotArea dataOnly="0" labelOnly="1" fieldPosition="0">
        <references count="2">
          <reference field="0" count="1" selected="0">
            <x v="67"/>
          </reference>
          <reference field="1" count="1">
            <x v="47"/>
          </reference>
        </references>
      </pivotArea>
    </format>
    <format dxfId="2341">
      <pivotArea dataOnly="0" labelOnly="1" fieldPosition="0">
        <references count="2">
          <reference field="0" count="1" selected="0">
            <x v="68"/>
          </reference>
          <reference field="1" count="1">
            <x v="48"/>
          </reference>
        </references>
      </pivotArea>
    </format>
    <format dxfId="2340">
      <pivotArea dataOnly="0" labelOnly="1" fieldPosition="0">
        <references count="2">
          <reference field="0" count="1" selected="0">
            <x v="79"/>
          </reference>
          <reference field="1" count="1">
            <x v="59"/>
          </reference>
        </references>
      </pivotArea>
    </format>
    <format dxfId="2339">
      <pivotArea dataOnly="0" labelOnly="1" fieldPosition="0">
        <references count="2">
          <reference field="0" count="1" selected="0">
            <x v="81"/>
          </reference>
          <reference field="1" count="1">
            <x v="68"/>
          </reference>
        </references>
      </pivotArea>
    </format>
    <format dxfId="2338">
      <pivotArea dataOnly="0" labelOnly="1" fieldPosition="0">
        <references count="2">
          <reference field="0" count="1" selected="0">
            <x v="82"/>
          </reference>
          <reference field="1" count="1">
            <x v="69"/>
          </reference>
        </references>
      </pivotArea>
    </format>
    <format dxfId="2337">
      <pivotArea dataOnly="0" labelOnly="1" fieldPosition="0">
        <references count="2">
          <reference field="0" count="1" selected="0">
            <x v="83"/>
          </reference>
          <reference field="1" count="1">
            <x v="70"/>
          </reference>
        </references>
      </pivotArea>
    </format>
    <format dxfId="2336">
      <pivotArea dataOnly="0" labelOnly="1" fieldPosition="0">
        <references count="2">
          <reference field="0" count="1" selected="0">
            <x v="84"/>
          </reference>
          <reference field="1" count="1">
            <x v="71"/>
          </reference>
        </references>
      </pivotArea>
    </format>
    <format dxfId="2335">
      <pivotArea dataOnly="0" labelOnly="1" fieldPosition="0">
        <references count="2">
          <reference field="0" count="1" selected="0">
            <x v="85"/>
          </reference>
          <reference field="1" count="1">
            <x v="72"/>
          </reference>
        </references>
      </pivotArea>
    </format>
    <format dxfId="2334">
      <pivotArea dataOnly="0" labelOnly="1" fieldPosition="0">
        <references count="2">
          <reference field="0" count="1" selected="0">
            <x v="86"/>
          </reference>
          <reference field="1" count="1">
            <x v="73"/>
          </reference>
        </references>
      </pivotArea>
    </format>
    <format dxfId="2333">
      <pivotArea dataOnly="0" labelOnly="1" fieldPosition="0">
        <references count="2">
          <reference field="0" count="1" selected="0">
            <x v="87"/>
          </reference>
          <reference field="1" count="1">
            <x v="74"/>
          </reference>
        </references>
      </pivotArea>
    </format>
    <format dxfId="2332">
      <pivotArea dataOnly="0" labelOnly="1" fieldPosition="0">
        <references count="2">
          <reference field="0" count="1" selected="0">
            <x v="88"/>
          </reference>
          <reference field="1" count="1">
            <x v="75"/>
          </reference>
        </references>
      </pivotArea>
    </format>
    <format dxfId="2331">
      <pivotArea dataOnly="0" labelOnly="1" fieldPosition="0">
        <references count="2">
          <reference field="0" count="1" selected="0">
            <x v="89"/>
          </reference>
          <reference field="1" count="1">
            <x v="76"/>
          </reference>
        </references>
      </pivotArea>
    </format>
    <format dxfId="2330">
      <pivotArea dataOnly="0" labelOnly="1" fieldPosition="0">
        <references count="2">
          <reference field="0" count="1" selected="0">
            <x v="90"/>
          </reference>
          <reference field="1" count="1">
            <x v="77"/>
          </reference>
        </references>
      </pivotArea>
    </format>
    <format dxfId="2329">
      <pivotArea dataOnly="0" labelOnly="1" fieldPosition="0">
        <references count="2">
          <reference field="0" count="1" selected="0">
            <x v="91"/>
          </reference>
          <reference field="1" count="1">
            <x v="78"/>
          </reference>
        </references>
      </pivotArea>
    </format>
    <format dxfId="2328">
      <pivotArea dataOnly="0" labelOnly="1" fieldPosition="0">
        <references count="2">
          <reference field="0" count="1" selected="0">
            <x v="93"/>
          </reference>
          <reference field="1" count="1">
            <x v="80"/>
          </reference>
        </references>
      </pivotArea>
    </format>
    <format dxfId="2327">
      <pivotArea dataOnly="0" labelOnly="1" fieldPosition="0">
        <references count="2">
          <reference field="0" count="1" selected="0">
            <x v="94"/>
          </reference>
          <reference field="1" count="1">
            <x v="81"/>
          </reference>
        </references>
      </pivotArea>
    </format>
    <format dxfId="2326">
      <pivotArea dataOnly="0" labelOnly="1" fieldPosition="0">
        <references count="2">
          <reference field="0" count="1" selected="0">
            <x v="95"/>
          </reference>
          <reference field="1" count="1">
            <x v="82"/>
          </reference>
        </references>
      </pivotArea>
    </format>
    <format dxfId="2325">
      <pivotArea dataOnly="0" labelOnly="1" fieldPosition="0">
        <references count="2">
          <reference field="0" count="1" selected="0">
            <x v="96"/>
          </reference>
          <reference field="1" count="1">
            <x v="83"/>
          </reference>
        </references>
      </pivotArea>
    </format>
    <format dxfId="2324">
      <pivotArea dataOnly="0" labelOnly="1" fieldPosition="0">
        <references count="2">
          <reference field="0" count="1" selected="0">
            <x v="97"/>
          </reference>
          <reference field="1" count="1">
            <x v="84"/>
          </reference>
        </references>
      </pivotArea>
    </format>
    <format dxfId="2323">
      <pivotArea dataOnly="0" labelOnly="1" fieldPosition="0">
        <references count="2">
          <reference field="0" count="1" selected="0">
            <x v="98"/>
          </reference>
          <reference field="1" count="1">
            <x v="85"/>
          </reference>
        </references>
      </pivotArea>
    </format>
    <format dxfId="2322">
      <pivotArea dataOnly="0" labelOnly="1" fieldPosition="0">
        <references count="2">
          <reference field="0" count="1" selected="0">
            <x v="99"/>
          </reference>
          <reference field="1" count="1">
            <x v="86"/>
          </reference>
        </references>
      </pivotArea>
    </format>
    <format dxfId="2321">
      <pivotArea dataOnly="0" labelOnly="1" fieldPosition="0">
        <references count="2">
          <reference field="0" count="1" selected="0">
            <x v="100"/>
          </reference>
          <reference field="1" count="1">
            <x v="87"/>
          </reference>
        </references>
      </pivotArea>
    </format>
    <format dxfId="2320">
      <pivotArea dataOnly="0" labelOnly="1" fieldPosition="0">
        <references count="2">
          <reference field="0" count="1" selected="0">
            <x v="101"/>
          </reference>
          <reference field="1" count="1">
            <x v="88"/>
          </reference>
        </references>
      </pivotArea>
    </format>
    <format dxfId="2319">
      <pivotArea dataOnly="0" labelOnly="1" fieldPosition="0">
        <references count="2">
          <reference field="0" count="1" selected="0">
            <x v="102"/>
          </reference>
          <reference field="1" count="1">
            <x v="89"/>
          </reference>
        </references>
      </pivotArea>
    </format>
    <format dxfId="2318">
      <pivotArea dataOnly="0" labelOnly="1" fieldPosition="0">
        <references count="2">
          <reference field="0" count="1" selected="0">
            <x v="103"/>
          </reference>
          <reference field="1" count="1">
            <x v="90"/>
          </reference>
        </references>
      </pivotArea>
    </format>
    <format dxfId="2317">
      <pivotArea dataOnly="0" labelOnly="1" fieldPosition="0">
        <references count="2">
          <reference field="0" count="1" selected="0">
            <x v="104"/>
          </reference>
          <reference field="1" count="1">
            <x v="91"/>
          </reference>
        </references>
      </pivotArea>
    </format>
    <format dxfId="2316">
      <pivotArea dataOnly="0" labelOnly="1" fieldPosition="0">
        <references count="2">
          <reference field="0" count="1" selected="0">
            <x v="105"/>
          </reference>
          <reference field="1" count="1">
            <x v="92"/>
          </reference>
        </references>
      </pivotArea>
    </format>
    <format dxfId="2315">
      <pivotArea dataOnly="0" labelOnly="1" fieldPosition="0">
        <references count="2">
          <reference field="0" count="1" selected="0">
            <x v="106"/>
          </reference>
          <reference field="1" count="1">
            <x v="93"/>
          </reference>
        </references>
      </pivotArea>
    </format>
    <format dxfId="2314">
      <pivotArea dataOnly="0" labelOnly="1" fieldPosition="0">
        <references count="2">
          <reference field="0" count="1" selected="0">
            <x v="107"/>
          </reference>
          <reference field="1" count="1">
            <x v="94"/>
          </reference>
        </references>
      </pivotArea>
    </format>
    <format dxfId="2313">
      <pivotArea dataOnly="0" labelOnly="1" fieldPosition="0">
        <references count="2">
          <reference field="0" count="1" selected="0">
            <x v="108"/>
          </reference>
          <reference field="1" count="1">
            <x v="95"/>
          </reference>
        </references>
      </pivotArea>
    </format>
    <format dxfId="2312">
      <pivotArea dataOnly="0" labelOnly="1" fieldPosition="0">
        <references count="2">
          <reference field="0" count="1" selected="0">
            <x v="110"/>
          </reference>
          <reference field="1" count="1">
            <x v="97"/>
          </reference>
        </references>
      </pivotArea>
    </format>
    <format dxfId="2311">
      <pivotArea dataOnly="0" labelOnly="1" fieldPosition="0">
        <references count="2">
          <reference field="0" count="1" selected="0">
            <x v="111"/>
          </reference>
          <reference field="1" count="1">
            <x v="98"/>
          </reference>
        </references>
      </pivotArea>
    </format>
    <format dxfId="2310">
      <pivotArea dataOnly="0" labelOnly="1" fieldPosition="0">
        <references count="2">
          <reference field="0" count="1" selected="0">
            <x v="113"/>
          </reference>
          <reference field="1" count="1">
            <x v="100"/>
          </reference>
        </references>
      </pivotArea>
    </format>
    <format dxfId="2309">
      <pivotArea dataOnly="0" labelOnly="1" fieldPosition="0">
        <references count="2">
          <reference field="0" count="1" selected="0">
            <x v="119"/>
          </reference>
          <reference field="1" count="1">
            <x v="106"/>
          </reference>
        </references>
      </pivotArea>
    </format>
    <format dxfId="2308">
      <pivotArea dataOnly="0" labelOnly="1" fieldPosition="0">
        <references count="2">
          <reference field="0" count="1" selected="0">
            <x v="120"/>
          </reference>
          <reference field="1" count="1">
            <x v="107"/>
          </reference>
        </references>
      </pivotArea>
    </format>
    <format dxfId="2307">
      <pivotArea dataOnly="0" labelOnly="1" fieldPosition="0">
        <references count="2">
          <reference field="0" count="1" selected="0">
            <x v="121"/>
          </reference>
          <reference field="1" count="1">
            <x v="108"/>
          </reference>
        </references>
      </pivotArea>
    </format>
    <format dxfId="2306">
      <pivotArea dataOnly="0" labelOnly="1" fieldPosition="0">
        <references count="2">
          <reference field="0" count="1" selected="0">
            <x v="122"/>
          </reference>
          <reference field="1" count="1">
            <x v="109"/>
          </reference>
        </references>
      </pivotArea>
    </format>
    <format dxfId="2305">
      <pivotArea dataOnly="0" labelOnly="1" fieldPosition="0">
        <references count="2">
          <reference field="0" count="1" selected="0">
            <x v="123"/>
          </reference>
          <reference field="1" count="1">
            <x v="110"/>
          </reference>
        </references>
      </pivotArea>
    </format>
    <format dxfId="2304">
      <pivotArea dataOnly="0" labelOnly="1" fieldPosition="0">
        <references count="2">
          <reference field="0" count="1" selected="0">
            <x v="124"/>
          </reference>
          <reference field="1" count="1">
            <x v="111"/>
          </reference>
        </references>
      </pivotArea>
    </format>
    <format dxfId="2303">
      <pivotArea dataOnly="0" labelOnly="1" fieldPosition="0">
        <references count="2">
          <reference field="0" count="1" selected="0">
            <x v="125"/>
          </reference>
          <reference field="1" count="1">
            <x v="112"/>
          </reference>
        </references>
      </pivotArea>
    </format>
    <format dxfId="2302">
      <pivotArea dataOnly="0" labelOnly="1" fieldPosition="0">
        <references count="2">
          <reference field="0" count="1" selected="0">
            <x v="126"/>
          </reference>
          <reference field="1" count="1">
            <x v="113"/>
          </reference>
        </references>
      </pivotArea>
    </format>
    <format dxfId="2301">
      <pivotArea dataOnly="0" labelOnly="1" fieldPosition="0">
        <references count="2">
          <reference field="0" count="1" selected="0">
            <x v="127"/>
          </reference>
          <reference field="1" count="1">
            <x v="114"/>
          </reference>
        </references>
      </pivotArea>
    </format>
    <format dxfId="2300">
      <pivotArea dataOnly="0" labelOnly="1" fieldPosition="0">
        <references count="2">
          <reference field="0" count="1" selected="0">
            <x v="128"/>
          </reference>
          <reference field="1" count="1">
            <x v="115"/>
          </reference>
        </references>
      </pivotArea>
    </format>
    <format dxfId="2299">
      <pivotArea dataOnly="0" labelOnly="1" fieldPosition="0">
        <references count="2">
          <reference field="0" count="1" selected="0">
            <x v="129"/>
          </reference>
          <reference field="1" count="1">
            <x v="116"/>
          </reference>
        </references>
      </pivotArea>
    </format>
    <format dxfId="2298">
      <pivotArea dataOnly="0" labelOnly="1" fieldPosition="0">
        <references count="2">
          <reference field="0" count="1" selected="0">
            <x v="130"/>
          </reference>
          <reference field="1" count="1">
            <x v="117"/>
          </reference>
        </references>
      </pivotArea>
    </format>
    <format dxfId="2297">
      <pivotArea dataOnly="0" labelOnly="1" fieldPosition="0">
        <references count="2">
          <reference field="0" count="1" selected="0">
            <x v="134"/>
          </reference>
          <reference field="1" count="1">
            <x v="127"/>
          </reference>
        </references>
      </pivotArea>
    </format>
    <format dxfId="2296">
      <pivotArea dataOnly="0" labelOnly="1" fieldPosition="0">
        <references count="2">
          <reference field="0" count="1" selected="0">
            <x v="135"/>
          </reference>
          <reference field="1" count="1">
            <x v="128"/>
          </reference>
        </references>
      </pivotArea>
    </format>
    <format dxfId="2295">
      <pivotArea dataOnly="0" labelOnly="1" fieldPosition="0">
        <references count="2">
          <reference field="0" count="1" selected="0">
            <x v="136"/>
          </reference>
          <reference field="1" count="1">
            <x v="129"/>
          </reference>
        </references>
      </pivotArea>
    </format>
    <format dxfId="2294">
      <pivotArea dataOnly="0" labelOnly="1" fieldPosition="0">
        <references count="2">
          <reference field="0" count="1" selected="0">
            <x v="144"/>
          </reference>
          <reference field="1" count="1">
            <x v="137"/>
          </reference>
        </references>
      </pivotArea>
    </format>
    <format dxfId="2293">
      <pivotArea dataOnly="0" labelOnly="1" fieldPosition="0">
        <references count="2">
          <reference field="0" count="1" selected="0">
            <x v="146"/>
          </reference>
          <reference field="1" count="1">
            <x v="139"/>
          </reference>
        </references>
      </pivotArea>
    </format>
    <format dxfId="2292">
      <pivotArea dataOnly="0" labelOnly="1" fieldPosition="0">
        <references count="2">
          <reference field="0" count="1" selected="0">
            <x v="147"/>
          </reference>
          <reference field="1" count="1">
            <x v="140"/>
          </reference>
        </references>
      </pivotArea>
    </format>
    <format dxfId="2291">
      <pivotArea dataOnly="0" labelOnly="1" fieldPosition="0">
        <references count="2">
          <reference field="0" count="1" selected="0">
            <x v="148"/>
          </reference>
          <reference field="1" count="1">
            <x v="141"/>
          </reference>
        </references>
      </pivotArea>
    </format>
    <format dxfId="2290">
      <pivotArea dataOnly="0" labelOnly="1" fieldPosition="0">
        <references count="2">
          <reference field="0" count="1" selected="0">
            <x v="149"/>
          </reference>
          <reference field="1" count="1">
            <x v="142"/>
          </reference>
        </references>
      </pivotArea>
    </format>
    <format dxfId="2289">
      <pivotArea dataOnly="0" labelOnly="1" fieldPosition="0">
        <references count="2">
          <reference field="0" count="1" selected="0">
            <x v="150"/>
          </reference>
          <reference field="1" count="1">
            <x v="143"/>
          </reference>
        </references>
      </pivotArea>
    </format>
    <format dxfId="2288">
      <pivotArea dataOnly="0" labelOnly="1" fieldPosition="0">
        <references count="2">
          <reference field="0" count="1" selected="0">
            <x v="151"/>
          </reference>
          <reference field="1" count="1">
            <x v="144"/>
          </reference>
        </references>
      </pivotArea>
    </format>
    <format dxfId="2287">
      <pivotArea dataOnly="0" labelOnly="1" fieldPosition="0">
        <references count="2">
          <reference field="0" count="1" selected="0">
            <x v="152"/>
          </reference>
          <reference field="1" count="1">
            <x v="145"/>
          </reference>
        </references>
      </pivotArea>
    </format>
    <format dxfId="2286">
      <pivotArea dataOnly="0" labelOnly="1" fieldPosition="0">
        <references count="2">
          <reference field="0" count="1" selected="0">
            <x v="153"/>
          </reference>
          <reference field="1" count="1">
            <x v="146"/>
          </reference>
        </references>
      </pivotArea>
    </format>
    <format dxfId="2285">
      <pivotArea dataOnly="0" labelOnly="1" fieldPosition="0">
        <references count="2">
          <reference field="0" count="1" selected="0">
            <x v="154"/>
          </reference>
          <reference field="1" count="1">
            <x v="147"/>
          </reference>
        </references>
      </pivotArea>
    </format>
    <format dxfId="2284">
      <pivotArea dataOnly="0" labelOnly="1" fieldPosition="0">
        <references count="2">
          <reference field="0" count="1" selected="0">
            <x v="155"/>
          </reference>
          <reference field="1" count="1">
            <x v="148"/>
          </reference>
        </references>
      </pivotArea>
    </format>
    <format dxfId="2283">
      <pivotArea dataOnly="0" labelOnly="1" fieldPosition="0">
        <references count="2">
          <reference field="0" count="1" selected="0">
            <x v="159"/>
          </reference>
          <reference field="1" count="1">
            <x v="183"/>
          </reference>
        </references>
      </pivotArea>
    </format>
    <format dxfId="2282">
      <pivotArea dataOnly="0" labelOnly="1" fieldPosition="0">
        <references count="2">
          <reference field="0" count="1" selected="0">
            <x v="160"/>
          </reference>
          <reference field="1" count="1">
            <x v="184"/>
          </reference>
        </references>
      </pivotArea>
    </format>
    <format dxfId="2281">
      <pivotArea dataOnly="0" labelOnly="1" fieldPosition="0">
        <references count="2">
          <reference field="0" count="1" selected="0">
            <x v="161"/>
          </reference>
          <reference field="1" count="1">
            <x v="185"/>
          </reference>
        </references>
      </pivotArea>
    </format>
    <format dxfId="2280">
      <pivotArea dataOnly="0" labelOnly="1" fieldPosition="0">
        <references count="2">
          <reference field="0" count="1" selected="0">
            <x v="162"/>
          </reference>
          <reference field="1" count="1">
            <x v="186"/>
          </reference>
        </references>
      </pivotArea>
    </format>
    <format dxfId="2279">
      <pivotArea dataOnly="0" labelOnly="1" fieldPosition="0">
        <references count="2">
          <reference field="0" count="1" selected="0">
            <x v="164"/>
          </reference>
          <reference field="1" count="1">
            <x v="188"/>
          </reference>
        </references>
      </pivotArea>
    </format>
    <format dxfId="2278">
      <pivotArea dataOnly="0" labelOnly="1" fieldPosition="0">
        <references count="2">
          <reference field="0" count="1" selected="0">
            <x v="165"/>
          </reference>
          <reference field="1" count="1">
            <x v="189"/>
          </reference>
        </references>
      </pivotArea>
    </format>
    <format dxfId="2277">
      <pivotArea dataOnly="0" labelOnly="1" fieldPosition="0">
        <references count="2">
          <reference field="0" count="1" selected="0">
            <x v="166"/>
          </reference>
          <reference field="1" count="1">
            <x v="190"/>
          </reference>
        </references>
      </pivotArea>
    </format>
    <format dxfId="2276">
      <pivotArea dataOnly="0" labelOnly="1" fieldPosition="0">
        <references count="2">
          <reference field="0" count="1" selected="0">
            <x v="167"/>
          </reference>
          <reference field="1" count="1">
            <x v="199"/>
          </reference>
        </references>
      </pivotArea>
    </format>
    <format dxfId="2275">
      <pivotArea dataOnly="0" labelOnly="1" fieldPosition="0">
        <references count="2">
          <reference field="0" count="1" selected="0">
            <x v="168"/>
          </reference>
          <reference field="1" count="1">
            <x v="200"/>
          </reference>
        </references>
      </pivotArea>
    </format>
    <format dxfId="2274">
      <pivotArea dataOnly="0" labelOnly="1" fieldPosition="0">
        <references count="2">
          <reference field="0" count="1" selected="0">
            <x v="171"/>
          </reference>
          <reference field="1" count="1">
            <x v="203"/>
          </reference>
        </references>
      </pivotArea>
    </format>
    <format dxfId="2273">
      <pivotArea dataOnly="0" labelOnly="1" fieldPosition="0">
        <references count="2">
          <reference field="0" count="1" selected="0">
            <x v="172"/>
          </reference>
          <reference field="1" count="1">
            <x v="204"/>
          </reference>
        </references>
      </pivotArea>
    </format>
    <format dxfId="2272">
      <pivotArea dataOnly="0" labelOnly="1" fieldPosition="0">
        <references count="2">
          <reference field="0" count="1" selected="0">
            <x v="173"/>
          </reference>
          <reference field="1" count="1">
            <x v="205"/>
          </reference>
        </references>
      </pivotArea>
    </format>
    <format dxfId="2271">
      <pivotArea dataOnly="0" labelOnly="1" fieldPosition="0">
        <references count="2">
          <reference field="0" count="1" selected="0">
            <x v="175"/>
          </reference>
          <reference field="1" count="1">
            <x v="207"/>
          </reference>
        </references>
      </pivotArea>
    </format>
    <format dxfId="2270">
      <pivotArea dataOnly="0" labelOnly="1" fieldPosition="0">
        <references count="2">
          <reference field="0" count="1" selected="0">
            <x v="176"/>
          </reference>
          <reference field="1" count="1">
            <x v="208"/>
          </reference>
        </references>
      </pivotArea>
    </format>
    <format dxfId="2269">
      <pivotArea dataOnly="0" labelOnly="1" fieldPosition="0">
        <references count="2">
          <reference field="0" count="1" selected="0">
            <x v="177"/>
          </reference>
          <reference field="1" count="1">
            <x v="209"/>
          </reference>
        </references>
      </pivotArea>
    </format>
    <format dxfId="2268">
      <pivotArea dataOnly="0" labelOnly="1" fieldPosition="0">
        <references count="2">
          <reference field="0" count="1" selected="0">
            <x v="178"/>
          </reference>
          <reference field="1" count="1">
            <x v="210"/>
          </reference>
        </references>
      </pivotArea>
    </format>
    <format dxfId="2267">
      <pivotArea dataOnly="0" labelOnly="1" fieldPosition="0">
        <references count="2">
          <reference field="0" count="1" selected="0">
            <x v="179"/>
          </reference>
          <reference field="1" count="1">
            <x v="211"/>
          </reference>
        </references>
      </pivotArea>
    </format>
    <format dxfId="2266">
      <pivotArea dataOnly="0" labelOnly="1" fieldPosition="0">
        <references count="2">
          <reference field="0" count="1" selected="0">
            <x v="180"/>
          </reference>
          <reference field="1" count="1">
            <x v="212"/>
          </reference>
        </references>
      </pivotArea>
    </format>
    <format dxfId="2265">
      <pivotArea dataOnly="0" labelOnly="1" fieldPosition="0">
        <references count="2">
          <reference field="0" count="1" selected="0">
            <x v="181"/>
          </reference>
          <reference field="1" count="1">
            <x v="213"/>
          </reference>
        </references>
      </pivotArea>
    </format>
    <format dxfId="2264">
      <pivotArea dataOnly="0" labelOnly="1" fieldPosition="0">
        <references count="2">
          <reference field="0" count="1" selected="0">
            <x v="182"/>
          </reference>
          <reference field="1" count="1">
            <x v="214"/>
          </reference>
        </references>
      </pivotArea>
    </format>
    <format dxfId="2263">
      <pivotArea dataOnly="0" labelOnly="1" fieldPosition="0">
        <references count="2">
          <reference field="0" count="1" selected="0">
            <x v="183"/>
          </reference>
          <reference field="1" count="1">
            <x v="215"/>
          </reference>
        </references>
      </pivotArea>
    </format>
    <format dxfId="2262">
      <pivotArea dataOnly="0" labelOnly="1" fieldPosition="0">
        <references count="2">
          <reference field="0" count="1" selected="0">
            <x v="184"/>
          </reference>
          <reference field="1" count="1">
            <x v="216"/>
          </reference>
        </references>
      </pivotArea>
    </format>
    <format dxfId="2261">
      <pivotArea dataOnly="0" labelOnly="1" fieldPosition="0">
        <references count="2">
          <reference field="0" count="1" selected="0">
            <x v="185"/>
          </reference>
          <reference field="1" count="1">
            <x v="217"/>
          </reference>
        </references>
      </pivotArea>
    </format>
    <format dxfId="2260">
      <pivotArea dataOnly="0" labelOnly="1" fieldPosition="0">
        <references count="2">
          <reference field="0" count="1" selected="0">
            <x v="186"/>
          </reference>
          <reference field="1" count="1">
            <x v="218"/>
          </reference>
        </references>
      </pivotArea>
    </format>
    <format dxfId="2259">
      <pivotArea dataOnly="0" labelOnly="1" fieldPosition="0">
        <references count="2">
          <reference field="0" count="1" selected="0">
            <x v="187"/>
          </reference>
          <reference field="1" count="1">
            <x v="219"/>
          </reference>
        </references>
      </pivotArea>
    </format>
    <format dxfId="2258">
      <pivotArea dataOnly="0" labelOnly="1" fieldPosition="0">
        <references count="2">
          <reference field="0" count="1" selected="0">
            <x v="188"/>
          </reference>
          <reference field="1" count="1">
            <x v="220"/>
          </reference>
        </references>
      </pivotArea>
    </format>
    <format dxfId="2257">
      <pivotArea dataOnly="0" labelOnly="1" fieldPosition="0">
        <references count="2">
          <reference field="0" count="1" selected="0">
            <x v="189"/>
          </reference>
          <reference field="1" count="1">
            <x v="221"/>
          </reference>
        </references>
      </pivotArea>
    </format>
    <format dxfId="2256">
      <pivotArea dataOnly="0" labelOnly="1" fieldPosition="0">
        <references count="2">
          <reference field="0" count="1" selected="0">
            <x v="192"/>
          </reference>
          <reference field="1" count="1">
            <x v="224"/>
          </reference>
        </references>
      </pivotArea>
    </format>
    <format dxfId="2255">
      <pivotArea dataOnly="0" labelOnly="1" fieldPosition="0">
        <references count="2">
          <reference field="0" count="1" selected="0">
            <x v="193"/>
          </reference>
          <reference field="1" count="1">
            <x v="225"/>
          </reference>
        </references>
      </pivotArea>
    </format>
    <format dxfId="2254">
      <pivotArea dataOnly="0" labelOnly="1" fieldPosition="0">
        <references count="2">
          <reference field="0" count="1" selected="0">
            <x v="197"/>
          </reference>
          <reference field="1" count="1">
            <x v="236"/>
          </reference>
        </references>
      </pivotArea>
    </format>
    <format dxfId="2253">
      <pivotArea dataOnly="0" labelOnly="1" fieldPosition="0">
        <references count="2">
          <reference field="0" count="1" selected="0">
            <x v="199"/>
          </reference>
          <reference field="1" count="1">
            <x v="238"/>
          </reference>
        </references>
      </pivotArea>
    </format>
    <format dxfId="2252">
      <pivotArea dataOnly="0" labelOnly="1" fieldPosition="0">
        <references count="2">
          <reference field="0" count="1" selected="0">
            <x v="200"/>
          </reference>
          <reference field="1" count="1">
            <x v="239"/>
          </reference>
        </references>
      </pivotArea>
    </format>
    <format dxfId="2251">
      <pivotArea dataOnly="0" labelOnly="1" fieldPosition="0">
        <references count="2">
          <reference field="0" count="1" selected="0">
            <x v="201"/>
          </reference>
          <reference field="1" count="1">
            <x v="240"/>
          </reference>
        </references>
      </pivotArea>
    </format>
    <format dxfId="2250">
      <pivotArea dataOnly="0" labelOnly="1" fieldPosition="0">
        <references count="2">
          <reference field="0" count="1" selected="0">
            <x v="204"/>
          </reference>
          <reference field="1" count="1">
            <x v="149"/>
          </reference>
        </references>
      </pivotArea>
    </format>
    <format dxfId="2249">
      <pivotArea dataOnly="0" labelOnly="1" fieldPosition="0">
        <references count="2">
          <reference field="0" count="1" selected="0">
            <x v="206"/>
          </reference>
          <reference field="1" count="1">
            <x v="151"/>
          </reference>
        </references>
      </pivotArea>
    </format>
    <format dxfId="2248">
      <pivotArea dataOnly="0" labelOnly="1" fieldPosition="0">
        <references count="2">
          <reference field="0" count="1" selected="0">
            <x v="207"/>
          </reference>
          <reference field="1" count="1">
            <x v="152"/>
          </reference>
        </references>
      </pivotArea>
    </format>
    <format dxfId="2247">
      <pivotArea dataOnly="0" labelOnly="1" fieldPosition="0">
        <references count="2">
          <reference field="0" count="1" selected="0">
            <x v="208"/>
          </reference>
          <reference field="1" count="1">
            <x v="153"/>
          </reference>
        </references>
      </pivotArea>
    </format>
    <format dxfId="2246">
      <pivotArea dataOnly="0" labelOnly="1" fieldPosition="0">
        <references count="2">
          <reference field="0" count="1" selected="0">
            <x v="209"/>
          </reference>
          <reference field="1" count="1">
            <x v="154"/>
          </reference>
        </references>
      </pivotArea>
    </format>
    <format dxfId="2245">
      <pivotArea dataOnly="0" labelOnly="1" fieldPosition="0">
        <references count="2">
          <reference field="0" count="1" selected="0">
            <x v="210"/>
          </reference>
          <reference field="1" count="1">
            <x v="155"/>
          </reference>
        </references>
      </pivotArea>
    </format>
    <format dxfId="2244">
      <pivotArea dataOnly="0" labelOnly="1" fieldPosition="0">
        <references count="2">
          <reference field="0" count="1" selected="0">
            <x v="211"/>
          </reference>
          <reference field="1" count="1">
            <x v="156"/>
          </reference>
        </references>
      </pivotArea>
    </format>
    <format dxfId="2243">
      <pivotArea dataOnly="0" labelOnly="1" fieldPosition="0">
        <references count="2">
          <reference field="0" count="1" selected="0">
            <x v="212"/>
          </reference>
          <reference field="1" count="1">
            <x v="157"/>
          </reference>
        </references>
      </pivotArea>
    </format>
    <format dxfId="2242">
      <pivotArea dataOnly="0" labelOnly="1" fieldPosition="0">
        <references count="2">
          <reference field="0" count="1" selected="0">
            <x v="214"/>
          </reference>
          <reference field="1" count="1">
            <x v="159"/>
          </reference>
        </references>
      </pivotArea>
    </format>
    <format dxfId="2241">
      <pivotArea dataOnly="0" labelOnly="1" fieldPosition="0">
        <references count="2">
          <reference field="0" count="1" selected="0">
            <x v="215"/>
          </reference>
          <reference field="1" count="1">
            <x v="160"/>
          </reference>
        </references>
      </pivotArea>
    </format>
    <format dxfId="2240">
      <pivotArea dataOnly="0" labelOnly="1" fieldPosition="0">
        <references count="2">
          <reference field="0" count="1" selected="0">
            <x v="216"/>
          </reference>
          <reference field="1" count="1">
            <x v="161"/>
          </reference>
        </references>
      </pivotArea>
    </format>
    <format dxfId="2239">
      <pivotArea dataOnly="0" labelOnly="1" fieldPosition="0">
        <references count="2">
          <reference field="0" count="1" selected="0">
            <x v="217"/>
          </reference>
          <reference field="1" count="1">
            <x v="162"/>
          </reference>
        </references>
      </pivotArea>
    </format>
    <format dxfId="2238">
      <pivotArea dataOnly="0" labelOnly="1" fieldPosition="0">
        <references count="2">
          <reference field="0" count="1" selected="0">
            <x v="218"/>
          </reference>
          <reference field="1" count="1">
            <x v="163"/>
          </reference>
        </references>
      </pivotArea>
    </format>
    <format dxfId="2237">
      <pivotArea dataOnly="0" labelOnly="1" fieldPosition="0">
        <references count="2">
          <reference field="0" count="1" selected="0">
            <x v="219"/>
          </reference>
          <reference field="1" count="1">
            <x v="164"/>
          </reference>
        </references>
      </pivotArea>
    </format>
    <format dxfId="2236">
      <pivotArea dataOnly="0" labelOnly="1" fieldPosition="0">
        <references count="2">
          <reference field="0" count="1" selected="0">
            <x v="220"/>
          </reference>
          <reference field="1" count="1">
            <x v="165"/>
          </reference>
        </references>
      </pivotArea>
    </format>
    <format dxfId="2235">
      <pivotArea dataOnly="0" labelOnly="1" fieldPosition="0">
        <references count="2">
          <reference field="0" count="1" selected="0">
            <x v="221"/>
          </reference>
          <reference field="1" count="1">
            <x v="166"/>
          </reference>
        </references>
      </pivotArea>
    </format>
    <format dxfId="2234">
      <pivotArea dataOnly="0" labelOnly="1" fieldPosition="0">
        <references count="2">
          <reference field="0" count="1" selected="0">
            <x v="223"/>
          </reference>
          <reference field="1" count="1">
            <x v="168"/>
          </reference>
        </references>
      </pivotArea>
    </format>
    <format dxfId="2233">
      <pivotArea dataOnly="0" labelOnly="1" fieldPosition="0">
        <references count="2">
          <reference field="0" count="1" selected="0">
            <x v="224"/>
          </reference>
          <reference field="1" count="1">
            <x v="169"/>
          </reference>
        </references>
      </pivotArea>
    </format>
    <format dxfId="2232">
      <pivotArea dataOnly="0" labelOnly="1" fieldPosition="0">
        <references count="2">
          <reference field="0" count="1" selected="0">
            <x v="225"/>
          </reference>
          <reference field="1" count="1">
            <x v="170"/>
          </reference>
        </references>
      </pivotArea>
    </format>
    <format dxfId="2231">
      <pivotArea dataOnly="0" labelOnly="1" fieldPosition="0">
        <references count="2">
          <reference field="0" count="1" selected="0">
            <x v="226"/>
          </reference>
          <reference field="1" count="1">
            <x v="171"/>
          </reference>
        </references>
      </pivotArea>
    </format>
    <format dxfId="2230">
      <pivotArea dataOnly="0" labelOnly="1" fieldPosition="0">
        <references count="2">
          <reference field="0" count="1" selected="0">
            <x v="227"/>
          </reference>
          <reference field="1" count="1">
            <x v="172"/>
          </reference>
        </references>
      </pivotArea>
    </format>
    <format dxfId="2229">
      <pivotArea dataOnly="0" labelOnly="1" fieldPosition="0">
        <references count="2">
          <reference field="0" count="1" selected="0">
            <x v="228"/>
          </reference>
          <reference field="1" count="1">
            <x v="173"/>
          </reference>
        </references>
      </pivotArea>
    </format>
    <format dxfId="2228">
      <pivotArea dataOnly="0" labelOnly="1" fieldPosition="0">
        <references count="2">
          <reference field="0" count="1" selected="0">
            <x v="229"/>
          </reference>
          <reference field="1" count="1">
            <x v="174"/>
          </reference>
        </references>
      </pivotArea>
    </format>
    <format dxfId="2227">
      <pivotArea dataOnly="0" labelOnly="1" fieldPosition="0">
        <references count="2">
          <reference field="0" count="1" selected="0">
            <x v="230"/>
          </reference>
          <reference field="1" count="1">
            <x v="175"/>
          </reference>
        </references>
      </pivotArea>
    </format>
    <format dxfId="2226">
      <pivotArea dataOnly="0" labelOnly="1" fieldPosition="0">
        <references count="2">
          <reference field="0" count="1" selected="0">
            <x v="231"/>
          </reference>
          <reference field="1" count="1">
            <x v="176"/>
          </reference>
        </references>
      </pivotArea>
    </format>
    <format dxfId="2225">
      <pivotArea dataOnly="0" labelOnly="1" fieldPosition="0">
        <references count="2">
          <reference field="0" count="1" selected="0">
            <x v="232"/>
          </reference>
          <reference field="1" count="1">
            <x v="177"/>
          </reference>
        </references>
      </pivotArea>
    </format>
    <format dxfId="2224">
      <pivotArea dataOnly="0" labelOnly="1" fieldPosition="0">
        <references count="2">
          <reference field="0" count="1" selected="0">
            <x v="233"/>
          </reference>
          <reference field="1" count="1">
            <x v="178"/>
          </reference>
        </references>
      </pivotArea>
    </format>
    <format dxfId="2223">
      <pivotArea dataOnly="0" labelOnly="1" fieldPosition="0">
        <references count="2">
          <reference field="0" count="1" selected="0">
            <x v="234"/>
          </reference>
          <reference field="1" count="1">
            <x v="179"/>
          </reference>
        </references>
      </pivotArea>
    </format>
    <format dxfId="2222">
      <pivotArea dataOnly="0" labelOnly="1" fieldPosition="0">
        <references count="2">
          <reference field="0" count="1" selected="0">
            <x v="235"/>
          </reference>
          <reference field="1" count="1">
            <x v="191"/>
          </reference>
        </references>
      </pivotArea>
    </format>
    <format dxfId="2221">
      <pivotArea dataOnly="0" labelOnly="1" fieldPosition="0">
        <references count="2">
          <reference field="0" count="1" selected="0">
            <x v="236"/>
          </reference>
          <reference field="1" count="1">
            <x v="192"/>
          </reference>
        </references>
      </pivotArea>
    </format>
    <format dxfId="2220">
      <pivotArea dataOnly="0" labelOnly="1" fieldPosition="0">
        <references count="2">
          <reference field="0" count="1" selected="0">
            <x v="237"/>
          </reference>
          <reference field="1" count="1">
            <x v="193"/>
          </reference>
        </references>
      </pivotArea>
    </format>
    <format dxfId="2219">
      <pivotArea dataOnly="0" labelOnly="1" fieldPosition="0">
        <references count="2">
          <reference field="0" count="1" selected="0">
            <x v="238"/>
          </reference>
          <reference field="1" count="1">
            <x v="194"/>
          </reference>
        </references>
      </pivotArea>
    </format>
    <format dxfId="2218">
      <pivotArea dataOnly="0" labelOnly="1" fieldPosition="0">
        <references count="2">
          <reference field="0" count="1" selected="0">
            <x v="239"/>
          </reference>
          <reference field="1" count="1">
            <x v="195"/>
          </reference>
        </references>
      </pivotArea>
    </format>
    <format dxfId="2217">
      <pivotArea dataOnly="0" labelOnly="1" fieldPosition="0">
        <references count="2">
          <reference field="0" count="1" selected="0">
            <x v="240"/>
          </reference>
          <reference field="1" count="1">
            <x v="196"/>
          </reference>
        </references>
      </pivotArea>
    </format>
    <format dxfId="2216">
      <pivotArea dataOnly="0" labelOnly="1" fieldPosition="0">
        <references count="2">
          <reference field="0" count="1" selected="0">
            <x v="241"/>
          </reference>
          <reference field="1" count="1">
            <x v="197"/>
          </reference>
        </references>
      </pivotArea>
    </format>
    <format dxfId="2215">
      <pivotArea dataOnly="0" labelOnly="1" fieldPosition="0">
        <references count="2">
          <reference field="0" count="1" selected="0">
            <x v="242"/>
          </reference>
          <reference field="1" count="1">
            <x v="198"/>
          </reference>
        </references>
      </pivotArea>
    </format>
    <format dxfId="2214">
      <pivotArea dataOnly="0" labelOnly="1" fieldPosition="0">
        <references count="3">
          <reference field="0" count="1" selected="0">
            <x v="0"/>
          </reference>
          <reference field="1" count="1" selected="0">
            <x v="228"/>
          </reference>
          <reference field="2" count="1">
            <x v="153"/>
          </reference>
        </references>
      </pivotArea>
    </format>
    <format dxfId="2213">
      <pivotArea dataOnly="0" labelOnly="1" fieldPosition="0">
        <references count="3">
          <reference field="0" count="1" selected="0">
            <x v="2"/>
          </reference>
          <reference field="1" count="1" selected="0">
            <x v="230"/>
          </reference>
          <reference field="2" count="1">
            <x v="225"/>
          </reference>
        </references>
      </pivotArea>
    </format>
    <format dxfId="2212">
      <pivotArea dataOnly="0" labelOnly="1" fieldPosition="0">
        <references count="3">
          <reference field="0" count="1" selected="0">
            <x v="3"/>
          </reference>
          <reference field="1" count="1" selected="0">
            <x v="231"/>
          </reference>
          <reference field="2" count="1">
            <x v="88"/>
          </reference>
        </references>
      </pivotArea>
    </format>
    <format dxfId="2211">
      <pivotArea dataOnly="0" labelOnly="1" fieldPosition="0">
        <references count="3">
          <reference field="0" count="1" selected="0">
            <x v="4"/>
          </reference>
          <reference field="1" count="1" selected="0">
            <x v="232"/>
          </reference>
          <reference field="2" count="1">
            <x v="90"/>
          </reference>
        </references>
      </pivotArea>
    </format>
    <format dxfId="2210">
      <pivotArea dataOnly="0" labelOnly="1" fieldPosition="0">
        <references count="3">
          <reference field="0" count="1" selected="0">
            <x v="5"/>
          </reference>
          <reference field="1" count="1" selected="0">
            <x v="233"/>
          </reference>
          <reference field="2" count="1">
            <x v="224"/>
          </reference>
        </references>
      </pivotArea>
    </format>
    <format dxfId="2209">
      <pivotArea dataOnly="0" labelOnly="1" fieldPosition="0">
        <references count="3">
          <reference field="0" count="1" selected="0">
            <x v="7"/>
          </reference>
          <reference field="1" count="1" selected="0">
            <x v="118"/>
          </reference>
          <reference field="2" count="1">
            <x v="171"/>
          </reference>
        </references>
      </pivotArea>
    </format>
    <format dxfId="2208">
      <pivotArea dataOnly="0" labelOnly="1" fieldPosition="0">
        <references count="3">
          <reference field="0" count="1" selected="0">
            <x v="9"/>
          </reference>
          <reference field="1" count="1" selected="0">
            <x v="120"/>
          </reference>
          <reference field="2" count="1">
            <x v="168"/>
          </reference>
        </references>
      </pivotArea>
    </format>
    <format dxfId="2207">
      <pivotArea dataOnly="0" labelOnly="1" fieldPosition="0">
        <references count="3">
          <reference field="0" count="1" selected="0">
            <x v="10"/>
          </reference>
          <reference field="1" count="1" selected="0">
            <x v="121"/>
          </reference>
          <reference field="2" count="1">
            <x v="82"/>
          </reference>
        </references>
      </pivotArea>
    </format>
    <format dxfId="2206">
      <pivotArea dataOnly="0" labelOnly="1" fieldPosition="0">
        <references count="3">
          <reference field="0" count="1" selected="0">
            <x v="11"/>
          </reference>
          <reference field="1" count="1" selected="0">
            <x v="122"/>
          </reference>
          <reference field="2" count="1">
            <x v="26"/>
          </reference>
        </references>
      </pivotArea>
    </format>
    <format dxfId="2205">
      <pivotArea dataOnly="0" labelOnly="1" fieldPosition="0">
        <references count="3">
          <reference field="0" count="1" selected="0">
            <x v="12"/>
          </reference>
          <reference field="1" count="1" selected="0">
            <x v="123"/>
          </reference>
          <reference field="2" count="1">
            <x v="150"/>
          </reference>
        </references>
      </pivotArea>
    </format>
    <format dxfId="2204">
      <pivotArea dataOnly="0" labelOnly="1" fieldPosition="0">
        <references count="3">
          <reference field="0" count="1" selected="0">
            <x v="16"/>
          </reference>
          <reference field="1" count="1" selected="0">
            <x v="64"/>
          </reference>
          <reference field="2" count="1">
            <x v="157"/>
          </reference>
        </references>
      </pivotArea>
    </format>
    <format dxfId="2203">
      <pivotArea dataOnly="0" labelOnly="1" fieldPosition="0">
        <references count="3">
          <reference field="0" count="1" selected="0">
            <x v="18"/>
          </reference>
          <reference field="1" count="1" selected="0">
            <x v="66"/>
          </reference>
          <reference field="2" count="1">
            <x v="189"/>
          </reference>
        </references>
      </pivotArea>
    </format>
    <format dxfId="2202">
      <pivotArea dataOnly="0" labelOnly="1" fieldPosition="0">
        <references count="3">
          <reference field="0" count="1" selected="0">
            <x v="22"/>
          </reference>
          <reference field="1" count="1" selected="0">
            <x v="19"/>
          </reference>
          <reference field="2" count="1">
            <x v="39"/>
          </reference>
        </references>
      </pivotArea>
    </format>
    <format dxfId="2201">
      <pivotArea dataOnly="0" labelOnly="1" fieldPosition="0">
        <references count="3">
          <reference field="0" count="1" selected="0">
            <x v="25"/>
          </reference>
          <reference field="1" count="1" selected="0">
            <x v="22"/>
          </reference>
          <reference field="2" count="1">
            <x v="84"/>
          </reference>
        </references>
      </pivotArea>
    </format>
    <format dxfId="2200">
      <pivotArea dataOnly="0" labelOnly="1" fieldPosition="0">
        <references count="3">
          <reference field="0" count="1" selected="0">
            <x v="26"/>
          </reference>
          <reference field="1" count="1" selected="0">
            <x v="23"/>
          </reference>
          <reference field="2" count="1">
            <x v="217"/>
          </reference>
        </references>
      </pivotArea>
    </format>
    <format dxfId="2199">
      <pivotArea dataOnly="0" labelOnly="1" fieldPosition="0">
        <references count="3">
          <reference field="0" count="1" selected="0">
            <x v="28"/>
          </reference>
          <reference field="1" count="1" selected="0">
            <x v="25"/>
          </reference>
          <reference field="2" count="1">
            <x v="52"/>
          </reference>
        </references>
      </pivotArea>
    </format>
    <format dxfId="2198">
      <pivotArea dataOnly="0" labelOnly="1" fieldPosition="0">
        <references count="3">
          <reference field="0" count="1" selected="0">
            <x v="29"/>
          </reference>
          <reference field="1" count="1" selected="0">
            <x v="26"/>
          </reference>
          <reference field="2" count="1">
            <x v="62"/>
          </reference>
        </references>
      </pivotArea>
    </format>
    <format dxfId="2197">
      <pivotArea dataOnly="0" labelOnly="1" fieldPosition="0">
        <references count="3">
          <reference field="0" count="1" selected="0">
            <x v="30"/>
          </reference>
          <reference field="1" count="1" selected="0">
            <x v="27"/>
          </reference>
          <reference field="2" count="1">
            <x v="7"/>
          </reference>
        </references>
      </pivotArea>
    </format>
    <format dxfId="2196">
      <pivotArea dataOnly="0" labelOnly="1" fieldPosition="0">
        <references count="3">
          <reference field="0" count="1" selected="0">
            <x v="31"/>
          </reference>
          <reference field="1" count="1" selected="0">
            <x v="28"/>
          </reference>
          <reference field="2" count="1">
            <x v="53"/>
          </reference>
        </references>
      </pivotArea>
    </format>
    <format dxfId="2195">
      <pivotArea dataOnly="0" labelOnly="1" fieldPosition="0">
        <references count="3">
          <reference field="0" count="1" selected="0">
            <x v="35"/>
          </reference>
          <reference field="1" count="1" selected="0">
            <x v="32"/>
          </reference>
          <reference field="2" count="1">
            <x v="51"/>
          </reference>
        </references>
      </pivotArea>
    </format>
    <format dxfId="2194">
      <pivotArea dataOnly="0" labelOnly="1" fieldPosition="0">
        <references count="3">
          <reference field="0" count="1" selected="0">
            <x v="36"/>
          </reference>
          <reference field="1" count="1" selected="0">
            <x v="33"/>
          </reference>
          <reference field="2" count="1">
            <x v="130"/>
          </reference>
        </references>
      </pivotArea>
    </format>
    <format dxfId="2193">
      <pivotArea dataOnly="0" labelOnly="1" fieldPosition="0">
        <references count="3">
          <reference field="0" count="1" selected="0">
            <x v="37"/>
          </reference>
          <reference field="1" count="1" selected="0">
            <x v="34"/>
          </reference>
          <reference field="2" count="1">
            <x v="70"/>
          </reference>
        </references>
      </pivotArea>
    </format>
    <format dxfId="2192">
      <pivotArea dataOnly="0" labelOnly="1" fieldPosition="0">
        <references count="3">
          <reference field="0" count="1" selected="0">
            <x v="38"/>
          </reference>
          <reference field="1" count="1" selected="0">
            <x v="0"/>
          </reference>
          <reference field="2" count="1">
            <x v="45"/>
          </reference>
        </references>
      </pivotArea>
    </format>
    <format dxfId="2191">
      <pivotArea dataOnly="0" labelOnly="1" fieldPosition="0">
        <references count="3">
          <reference field="0" count="1" selected="0">
            <x v="39"/>
          </reference>
          <reference field="1" count="1" selected="0">
            <x v="1"/>
          </reference>
          <reference field="2" count="1">
            <x v="46"/>
          </reference>
        </references>
      </pivotArea>
    </format>
    <format dxfId="2190">
      <pivotArea dataOnly="0" labelOnly="1" fieldPosition="0">
        <references count="3">
          <reference field="0" count="1" selected="0">
            <x v="40"/>
          </reference>
          <reference field="1" count="1" selected="0">
            <x v="2"/>
          </reference>
          <reference field="2" count="1">
            <x v="128"/>
          </reference>
        </references>
      </pivotArea>
    </format>
    <format dxfId="2189">
      <pivotArea dataOnly="0" labelOnly="1" fieldPosition="0">
        <references count="3">
          <reference field="0" count="1" selected="0">
            <x v="41"/>
          </reference>
          <reference field="1" count="1" selected="0">
            <x v="3"/>
          </reference>
          <reference field="2" count="1">
            <x v="105"/>
          </reference>
        </references>
      </pivotArea>
    </format>
    <format dxfId="2188">
      <pivotArea dataOnly="0" labelOnly="1" fieldPosition="0">
        <references count="3">
          <reference field="0" count="1" selected="0">
            <x v="42"/>
          </reference>
          <reference field="1" count="1" selected="0">
            <x v="4"/>
          </reference>
          <reference field="2" count="1">
            <x v="64"/>
          </reference>
        </references>
      </pivotArea>
    </format>
    <format dxfId="2187">
      <pivotArea dataOnly="0" labelOnly="1" fieldPosition="0">
        <references count="3">
          <reference field="0" count="1" selected="0">
            <x v="43"/>
          </reference>
          <reference field="1" count="1" selected="0">
            <x v="5"/>
          </reference>
          <reference field="2" count="1">
            <x v="19"/>
          </reference>
        </references>
      </pivotArea>
    </format>
    <format dxfId="2186">
      <pivotArea dataOnly="0" labelOnly="1" fieldPosition="0">
        <references count="3">
          <reference field="0" count="1" selected="0">
            <x v="44"/>
          </reference>
          <reference field="1" count="1" selected="0">
            <x v="6"/>
          </reference>
          <reference field="2" count="1">
            <x v="23"/>
          </reference>
        </references>
      </pivotArea>
    </format>
    <format dxfId="2185">
      <pivotArea dataOnly="0" labelOnly="1" fieldPosition="0">
        <references count="3">
          <reference field="0" count="1" selected="0">
            <x v="45"/>
          </reference>
          <reference field="1" count="1" selected="0">
            <x v="7"/>
          </reference>
          <reference field="2" count="1">
            <x v="22"/>
          </reference>
        </references>
      </pivotArea>
    </format>
    <format dxfId="2184">
      <pivotArea dataOnly="0" labelOnly="1" fieldPosition="0">
        <references count="3">
          <reference field="0" count="1" selected="0">
            <x v="46"/>
          </reference>
          <reference field="1" count="1" selected="0">
            <x v="8"/>
          </reference>
          <reference field="2" count="1">
            <x v="135"/>
          </reference>
        </references>
      </pivotArea>
    </format>
    <format dxfId="2183">
      <pivotArea dataOnly="0" labelOnly="1" fieldPosition="0">
        <references count="3">
          <reference field="0" count="1" selected="0">
            <x v="47"/>
          </reference>
          <reference field="1" count="1" selected="0">
            <x v="9"/>
          </reference>
          <reference field="2" count="1">
            <x v="141"/>
          </reference>
        </references>
      </pivotArea>
    </format>
    <format dxfId="2182">
      <pivotArea dataOnly="0" labelOnly="1" fieldPosition="0">
        <references count="3">
          <reference field="0" count="1" selected="0">
            <x v="49"/>
          </reference>
          <reference field="1" count="1" selected="0">
            <x v="11"/>
          </reference>
          <reference field="2" count="1">
            <x v="127"/>
          </reference>
        </references>
      </pivotArea>
    </format>
    <format dxfId="2181">
      <pivotArea dataOnly="0" labelOnly="1" fieldPosition="0">
        <references count="3">
          <reference field="0" count="1" selected="0">
            <x v="55"/>
          </reference>
          <reference field="1" count="1" selected="0">
            <x v="35"/>
          </reference>
          <reference field="2" count="1">
            <x v="65"/>
          </reference>
        </references>
      </pivotArea>
    </format>
    <format dxfId="2180">
      <pivotArea dataOnly="0" labelOnly="1" fieldPosition="0">
        <references count="3">
          <reference field="0" count="1" selected="0">
            <x v="56"/>
          </reference>
          <reference field="1" count="1" selected="0">
            <x v="36"/>
          </reference>
          <reference field="2" count="1">
            <x v="183"/>
          </reference>
        </references>
      </pivotArea>
    </format>
    <format dxfId="2179">
      <pivotArea dataOnly="0" labelOnly="1" fieldPosition="0">
        <references count="3">
          <reference field="0" count="1" selected="0">
            <x v="62"/>
          </reference>
          <reference field="1" count="1" selected="0">
            <x v="42"/>
          </reference>
          <reference field="2" count="1">
            <x v="15"/>
          </reference>
        </references>
      </pivotArea>
    </format>
    <format dxfId="2178">
      <pivotArea dataOnly="0" labelOnly="1" fieldPosition="0">
        <references count="3">
          <reference field="0" count="1" selected="0">
            <x v="63"/>
          </reference>
          <reference field="1" count="1" selected="0">
            <x v="43"/>
          </reference>
          <reference field="2" count="1">
            <x v="152"/>
          </reference>
        </references>
      </pivotArea>
    </format>
    <format dxfId="2177">
      <pivotArea dataOnly="0" labelOnly="1" fieldPosition="0">
        <references count="3">
          <reference field="0" count="1" selected="0">
            <x v="64"/>
          </reference>
          <reference field="1" count="1" selected="0">
            <x v="44"/>
          </reference>
          <reference field="2" count="1">
            <x v="146"/>
          </reference>
        </references>
      </pivotArea>
    </format>
    <format dxfId="2176">
      <pivotArea dataOnly="0" labelOnly="1" fieldPosition="0">
        <references count="3">
          <reference field="0" count="1" selected="0">
            <x v="65"/>
          </reference>
          <reference field="1" count="1" selected="0">
            <x v="45"/>
          </reference>
          <reference field="2" count="1">
            <x v="204"/>
          </reference>
        </references>
      </pivotArea>
    </format>
    <format dxfId="2175">
      <pivotArea dataOnly="0" labelOnly="1" fieldPosition="0">
        <references count="3">
          <reference field="0" count="1" selected="0">
            <x v="66"/>
          </reference>
          <reference field="1" count="1" selected="0">
            <x v="46"/>
          </reference>
          <reference field="2" count="1">
            <x v="92"/>
          </reference>
        </references>
      </pivotArea>
    </format>
    <format dxfId="2174">
      <pivotArea dataOnly="0" labelOnly="1" fieldPosition="0">
        <references count="3">
          <reference field="0" count="1" selected="0">
            <x v="67"/>
          </reference>
          <reference field="1" count="1" selected="0">
            <x v="47"/>
          </reference>
          <reference field="2" count="1">
            <x v="181"/>
          </reference>
        </references>
      </pivotArea>
    </format>
    <format dxfId="2173">
      <pivotArea dataOnly="0" labelOnly="1" fieldPosition="0">
        <references count="3">
          <reference field="0" count="1" selected="0">
            <x v="68"/>
          </reference>
          <reference field="1" count="1" selected="0">
            <x v="48"/>
          </reference>
          <reference field="2" count="1">
            <x v="231"/>
          </reference>
        </references>
      </pivotArea>
    </format>
    <format dxfId="2172">
      <pivotArea dataOnly="0" labelOnly="1" fieldPosition="0">
        <references count="3">
          <reference field="0" count="1" selected="0">
            <x v="79"/>
          </reference>
          <reference field="1" count="1" selected="0">
            <x v="59"/>
          </reference>
          <reference field="2" count="1">
            <x v="21"/>
          </reference>
        </references>
      </pivotArea>
    </format>
    <format dxfId="2171">
      <pivotArea dataOnly="0" labelOnly="1" fieldPosition="0">
        <references count="3">
          <reference field="0" count="1" selected="0">
            <x v="81"/>
          </reference>
          <reference field="1" count="1" selected="0">
            <x v="68"/>
          </reference>
          <reference field="2" count="1">
            <x v="112"/>
          </reference>
        </references>
      </pivotArea>
    </format>
    <format dxfId="2170">
      <pivotArea dataOnly="0" labelOnly="1" fieldPosition="0">
        <references count="3">
          <reference field="0" count="1" selected="0">
            <x v="82"/>
          </reference>
          <reference field="1" count="1" selected="0">
            <x v="69"/>
          </reference>
          <reference field="2" count="1">
            <x v="226"/>
          </reference>
        </references>
      </pivotArea>
    </format>
    <format dxfId="2169">
      <pivotArea dataOnly="0" labelOnly="1" fieldPosition="0">
        <references count="3">
          <reference field="0" count="1" selected="0">
            <x v="83"/>
          </reference>
          <reference field="1" count="1" selected="0">
            <x v="70"/>
          </reference>
          <reference field="2" count="1">
            <x v="193"/>
          </reference>
        </references>
      </pivotArea>
    </format>
    <format dxfId="2168">
      <pivotArea dataOnly="0" labelOnly="1" fieldPosition="0">
        <references count="3">
          <reference field="0" count="1" selected="0">
            <x v="84"/>
          </reference>
          <reference field="1" count="1" selected="0">
            <x v="71"/>
          </reference>
          <reference field="2" count="1">
            <x v="192"/>
          </reference>
        </references>
      </pivotArea>
    </format>
    <format dxfId="2167">
      <pivotArea dataOnly="0" labelOnly="1" fieldPosition="0">
        <references count="3">
          <reference field="0" count="1" selected="0">
            <x v="85"/>
          </reference>
          <reference field="1" count="1" selected="0">
            <x v="72"/>
          </reference>
          <reference field="2" count="1">
            <x v="87"/>
          </reference>
        </references>
      </pivotArea>
    </format>
    <format dxfId="2166">
      <pivotArea dataOnly="0" labelOnly="1" fieldPosition="0">
        <references count="3">
          <reference field="0" count="1" selected="0">
            <x v="86"/>
          </reference>
          <reference field="1" count="1" selected="0">
            <x v="73"/>
          </reference>
          <reference field="2" count="1">
            <x v="154"/>
          </reference>
        </references>
      </pivotArea>
    </format>
    <format dxfId="2165">
      <pivotArea dataOnly="0" labelOnly="1" fieldPosition="0">
        <references count="3">
          <reference field="0" count="1" selected="0">
            <x v="87"/>
          </reference>
          <reference field="1" count="1" selected="0">
            <x v="74"/>
          </reference>
          <reference field="2" count="1">
            <x v="208"/>
          </reference>
        </references>
      </pivotArea>
    </format>
    <format dxfId="2164">
      <pivotArea dataOnly="0" labelOnly="1" fieldPosition="0">
        <references count="3">
          <reference field="0" count="1" selected="0">
            <x v="88"/>
          </reference>
          <reference field="1" count="1" selected="0">
            <x v="75"/>
          </reference>
          <reference field="2" count="1">
            <x v="38"/>
          </reference>
        </references>
      </pivotArea>
    </format>
    <format dxfId="2163">
      <pivotArea dataOnly="0" labelOnly="1" fieldPosition="0">
        <references count="3">
          <reference field="0" count="1" selected="0">
            <x v="89"/>
          </reference>
          <reference field="1" count="1" selected="0">
            <x v="76"/>
          </reference>
          <reference field="2" count="1">
            <x v="232"/>
          </reference>
        </references>
      </pivotArea>
    </format>
    <format dxfId="2162">
      <pivotArea dataOnly="0" labelOnly="1" fieldPosition="0">
        <references count="3">
          <reference field="0" count="1" selected="0">
            <x v="90"/>
          </reference>
          <reference field="1" count="1" selected="0">
            <x v="77"/>
          </reference>
          <reference field="2" count="1">
            <x v="43"/>
          </reference>
        </references>
      </pivotArea>
    </format>
    <format dxfId="2161">
      <pivotArea dataOnly="0" labelOnly="1" fieldPosition="0">
        <references count="3">
          <reference field="0" count="1" selected="0">
            <x v="91"/>
          </reference>
          <reference field="1" count="1" selected="0">
            <x v="78"/>
          </reference>
          <reference field="2" count="1">
            <x v="12"/>
          </reference>
        </references>
      </pivotArea>
    </format>
    <format dxfId="2160">
      <pivotArea dataOnly="0" labelOnly="1" fieldPosition="0">
        <references count="3">
          <reference field="0" count="1" selected="0">
            <x v="93"/>
          </reference>
          <reference field="1" count="1" selected="0">
            <x v="80"/>
          </reference>
          <reference field="2" count="1">
            <x v="180"/>
          </reference>
        </references>
      </pivotArea>
    </format>
    <format dxfId="2159">
      <pivotArea dataOnly="0" labelOnly="1" fieldPosition="0">
        <references count="3">
          <reference field="0" count="1" selected="0">
            <x v="94"/>
          </reference>
          <reference field="1" count="1" selected="0">
            <x v="81"/>
          </reference>
          <reference field="2" count="1">
            <x v="60"/>
          </reference>
        </references>
      </pivotArea>
    </format>
    <format dxfId="2158">
      <pivotArea dataOnly="0" labelOnly="1" fieldPosition="0">
        <references count="3">
          <reference field="0" count="1" selected="0">
            <x v="95"/>
          </reference>
          <reference field="1" count="1" selected="0">
            <x v="82"/>
          </reference>
          <reference field="2" count="1">
            <x v="5"/>
          </reference>
        </references>
      </pivotArea>
    </format>
    <format dxfId="2157">
      <pivotArea dataOnly="0" labelOnly="1" fieldPosition="0">
        <references count="3">
          <reference field="0" count="1" selected="0">
            <x v="96"/>
          </reference>
          <reference field="1" count="1" selected="0">
            <x v="83"/>
          </reference>
          <reference field="2" count="1">
            <x v="173"/>
          </reference>
        </references>
      </pivotArea>
    </format>
    <format dxfId="2156">
      <pivotArea dataOnly="0" labelOnly="1" fieldPosition="0">
        <references count="3">
          <reference field="0" count="1" selected="0">
            <x v="97"/>
          </reference>
          <reference field="1" count="1" selected="0">
            <x v="84"/>
          </reference>
          <reference field="2" count="1">
            <x v="6"/>
          </reference>
        </references>
      </pivotArea>
    </format>
    <format dxfId="2155">
      <pivotArea dataOnly="0" labelOnly="1" fieldPosition="0">
        <references count="3">
          <reference field="0" count="1" selected="0">
            <x v="98"/>
          </reference>
          <reference field="1" count="1" selected="0">
            <x v="85"/>
          </reference>
          <reference field="2" count="1">
            <x v="214"/>
          </reference>
        </references>
      </pivotArea>
    </format>
    <format dxfId="2154">
      <pivotArea dataOnly="0" labelOnly="1" fieldPosition="0">
        <references count="3">
          <reference field="0" count="1" selected="0">
            <x v="99"/>
          </reference>
          <reference field="1" count="1" selected="0">
            <x v="86"/>
          </reference>
          <reference field="2" count="1">
            <x v="66"/>
          </reference>
        </references>
      </pivotArea>
    </format>
    <format dxfId="2153">
      <pivotArea dataOnly="0" labelOnly="1" fieldPosition="0">
        <references count="3">
          <reference field="0" count="1" selected="0">
            <x v="100"/>
          </reference>
          <reference field="1" count="1" selected="0">
            <x v="87"/>
          </reference>
          <reference field="2" count="1">
            <x v="75"/>
          </reference>
        </references>
      </pivotArea>
    </format>
    <format dxfId="2152">
      <pivotArea dataOnly="0" labelOnly="1" fieldPosition="0">
        <references count="3">
          <reference field="0" count="1" selected="0">
            <x v="101"/>
          </reference>
          <reference field="1" count="1" selected="0">
            <x v="88"/>
          </reference>
          <reference field="2" count="1">
            <x v="29"/>
          </reference>
        </references>
      </pivotArea>
    </format>
    <format dxfId="2151">
      <pivotArea dataOnly="0" labelOnly="1" fieldPosition="0">
        <references count="3">
          <reference field="0" count="1" selected="0">
            <x v="102"/>
          </reference>
          <reference field="1" count="1" selected="0">
            <x v="89"/>
          </reference>
          <reference field="2" count="1">
            <x v="14"/>
          </reference>
        </references>
      </pivotArea>
    </format>
    <format dxfId="2150">
      <pivotArea dataOnly="0" labelOnly="1" fieldPosition="0">
        <references count="3">
          <reference field="0" count="1" selected="0">
            <x v="103"/>
          </reference>
          <reference field="1" count="1" selected="0">
            <x v="90"/>
          </reference>
          <reference field="2" count="1">
            <x v="73"/>
          </reference>
        </references>
      </pivotArea>
    </format>
    <format dxfId="2149">
      <pivotArea dataOnly="0" labelOnly="1" fieldPosition="0">
        <references count="3">
          <reference field="0" count="1" selected="0">
            <x v="104"/>
          </reference>
          <reference field="1" count="1" selected="0">
            <x v="91"/>
          </reference>
          <reference field="2" count="1">
            <x v="68"/>
          </reference>
        </references>
      </pivotArea>
    </format>
    <format dxfId="2148">
      <pivotArea dataOnly="0" labelOnly="1" fieldPosition="0">
        <references count="3">
          <reference field="0" count="1" selected="0">
            <x v="105"/>
          </reference>
          <reference field="1" count="1" selected="0">
            <x v="92"/>
          </reference>
          <reference field="2" count="1">
            <x v="134"/>
          </reference>
        </references>
      </pivotArea>
    </format>
    <format dxfId="2147">
      <pivotArea dataOnly="0" labelOnly="1" fieldPosition="0">
        <references count="3">
          <reference field="0" count="1" selected="0">
            <x v="106"/>
          </reference>
          <reference field="1" count="1" selected="0">
            <x v="93"/>
          </reference>
          <reference field="2" count="1">
            <x v="76"/>
          </reference>
        </references>
      </pivotArea>
    </format>
    <format dxfId="2146">
      <pivotArea dataOnly="0" labelOnly="1" fieldPosition="0">
        <references count="3">
          <reference field="0" count="1" selected="0">
            <x v="107"/>
          </reference>
          <reference field="1" count="1" selected="0">
            <x v="94"/>
          </reference>
          <reference field="2" count="1">
            <x v="190"/>
          </reference>
        </references>
      </pivotArea>
    </format>
    <format dxfId="2145">
      <pivotArea dataOnly="0" labelOnly="1" fieldPosition="0">
        <references count="3">
          <reference field="0" count="1" selected="0">
            <x v="108"/>
          </reference>
          <reference field="1" count="1" selected="0">
            <x v="95"/>
          </reference>
          <reference field="2" count="1">
            <x v="236"/>
          </reference>
        </references>
      </pivotArea>
    </format>
    <format dxfId="2144">
      <pivotArea dataOnly="0" labelOnly="1" fieldPosition="0">
        <references count="3">
          <reference field="0" count="1" selected="0">
            <x v="110"/>
          </reference>
          <reference field="1" count="1" selected="0">
            <x v="97"/>
          </reference>
          <reference field="2" count="1">
            <x v="123"/>
          </reference>
        </references>
      </pivotArea>
    </format>
    <format dxfId="2143">
      <pivotArea dataOnly="0" labelOnly="1" fieldPosition="0">
        <references count="3">
          <reference field="0" count="1" selected="0">
            <x v="111"/>
          </reference>
          <reference field="1" count="1" selected="0">
            <x v="98"/>
          </reference>
          <reference field="2" count="1">
            <x v="83"/>
          </reference>
        </references>
      </pivotArea>
    </format>
    <format dxfId="2142">
      <pivotArea dataOnly="0" labelOnly="1" fieldPosition="0">
        <references count="3">
          <reference field="0" count="1" selected="0">
            <x v="113"/>
          </reference>
          <reference field="1" count="1" selected="0">
            <x v="100"/>
          </reference>
          <reference field="2" count="1">
            <x v="124"/>
          </reference>
        </references>
      </pivotArea>
    </format>
    <format dxfId="2141">
      <pivotArea dataOnly="0" labelOnly="1" fieldPosition="0">
        <references count="3">
          <reference field="0" count="1" selected="0">
            <x v="121"/>
          </reference>
          <reference field="1" count="1" selected="0">
            <x v="108"/>
          </reference>
          <reference field="2" count="1">
            <x v="207"/>
          </reference>
        </references>
      </pivotArea>
    </format>
    <format dxfId="2140">
      <pivotArea dataOnly="0" labelOnly="1" fieldPosition="0">
        <references count="3">
          <reference field="0" count="1" selected="0">
            <x v="122"/>
          </reference>
          <reference field="1" count="1" selected="0">
            <x v="109"/>
          </reference>
          <reference field="2" count="1">
            <x v="35"/>
          </reference>
        </references>
      </pivotArea>
    </format>
    <format dxfId="2139">
      <pivotArea dataOnly="0" labelOnly="1" fieldPosition="0">
        <references count="3">
          <reference field="0" count="1" selected="0">
            <x v="123"/>
          </reference>
          <reference field="1" count="1" selected="0">
            <x v="110"/>
          </reference>
          <reference field="2" count="1">
            <x v="176"/>
          </reference>
        </references>
      </pivotArea>
    </format>
    <format dxfId="2138">
      <pivotArea dataOnly="0" labelOnly="1" fieldPosition="0">
        <references count="3">
          <reference field="0" count="1" selected="0">
            <x v="124"/>
          </reference>
          <reference field="1" count="1" selected="0">
            <x v="111"/>
          </reference>
          <reference field="2" count="1">
            <x v="218"/>
          </reference>
        </references>
      </pivotArea>
    </format>
    <format dxfId="2137">
      <pivotArea dataOnly="0" labelOnly="1" fieldPosition="0">
        <references count="3">
          <reference field="0" count="1" selected="0">
            <x v="125"/>
          </reference>
          <reference field="1" count="1" selected="0">
            <x v="112"/>
          </reference>
          <reference field="2" count="1">
            <x v="197"/>
          </reference>
        </references>
      </pivotArea>
    </format>
    <format dxfId="2136">
      <pivotArea dataOnly="0" labelOnly="1" fieldPosition="0">
        <references count="3">
          <reference field="0" count="1" selected="0">
            <x v="126"/>
          </reference>
          <reference field="1" count="1" selected="0">
            <x v="113"/>
          </reference>
          <reference field="2" count="1">
            <x v="191"/>
          </reference>
        </references>
      </pivotArea>
    </format>
    <format dxfId="2135">
      <pivotArea dataOnly="0" labelOnly="1" fieldPosition="0">
        <references count="3">
          <reference field="0" count="1" selected="0">
            <x v="127"/>
          </reference>
          <reference field="1" count="1" selected="0">
            <x v="114"/>
          </reference>
          <reference field="2" count="1">
            <x v="174"/>
          </reference>
        </references>
      </pivotArea>
    </format>
    <format dxfId="2134">
      <pivotArea dataOnly="0" labelOnly="1" fieldPosition="0">
        <references count="3">
          <reference field="0" count="1" selected="0">
            <x v="128"/>
          </reference>
          <reference field="1" count="1" selected="0">
            <x v="115"/>
          </reference>
          <reference field="2" count="1">
            <x v="59"/>
          </reference>
        </references>
      </pivotArea>
    </format>
    <format dxfId="2133">
      <pivotArea dataOnly="0" labelOnly="1" fieldPosition="0">
        <references count="3">
          <reference field="0" count="1" selected="0">
            <x v="129"/>
          </reference>
          <reference field="1" count="1" selected="0">
            <x v="116"/>
          </reference>
          <reference field="2" count="1">
            <x v="212"/>
          </reference>
        </references>
      </pivotArea>
    </format>
    <format dxfId="2132">
      <pivotArea dataOnly="0" labelOnly="1" fieldPosition="0">
        <references count="3">
          <reference field="0" count="1" selected="0">
            <x v="130"/>
          </reference>
          <reference field="1" count="1" selected="0">
            <x v="117"/>
          </reference>
          <reference field="2" count="1">
            <x v="118"/>
          </reference>
        </references>
      </pivotArea>
    </format>
    <format dxfId="2131">
      <pivotArea dataOnly="0" labelOnly="1" fieldPosition="0">
        <references count="3">
          <reference field="0" count="1" selected="0">
            <x v="134"/>
          </reference>
          <reference field="1" count="1" selected="0">
            <x v="127"/>
          </reference>
          <reference field="2" count="1">
            <x v="2"/>
          </reference>
        </references>
      </pivotArea>
    </format>
    <format dxfId="2130">
      <pivotArea dataOnly="0" labelOnly="1" fieldPosition="0">
        <references count="3">
          <reference field="0" count="1" selected="0">
            <x v="135"/>
          </reference>
          <reference field="1" count="1" selected="0">
            <x v="128"/>
          </reference>
          <reference field="2" count="1">
            <x v="151"/>
          </reference>
        </references>
      </pivotArea>
    </format>
    <format dxfId="2129">
      <pivotArea dataOnly="0" labelOnly="1" fieldPosition="0">
        <references count="3">
          <reference field="0" count="1" selected="0">
            <x v="136"/>
          </reference>
          <reference field="1" count="1" selected="0">
            <x v="129"/>
          </reference>
          <reference field="2" count="1">
            <x v="219"/>
          </reference>
        </references>
      </pivotArea>
    </format>
    <format dxfId="2128">
      <pivotArea dataOnly="0" labelOnly="1" fieldPosition="0">
        <references count="3">
          <reference field="0" count="1" selected="0">
            <x v="144"/>
          </reference>
          <reference field="1" count="1" selected="0">
            <x v="137"/>
          </reference>
          <reference field="2" count="1">
            <x v="79"/>
          </reference>
        </references>
      </pivotArea>
    </format>
    <format dxfId="2127">
      <pivotArea dataOnly="0" labelOnly="1" fieldPosition="0">
        <references count="3">
          <reference field="0" count="1" selected="0">
            <x v="146"/>
          </reference>
          <reference field="1" count="1" selected="0">
            <x v="139"/>
          </reference>
          <reference field="2" count="1">
            <x v="30"/>
          </reference>
        </references>
      </pivotArea>
    </format>
    <format dxfId="2126">
      <pivotArea dataOnly="0" labelOnly="1" fieldPosition="0">
        <references count="3">
          <reference field="0" count="1" selected="0">
            <x v="147"/>
          </reference>
          <reference field="1" count="1" selected="0">
            <x v="140"/>
          </reference>
          <reference field="2" count="1">
            <x v="211"/>
          </reference>
        </references>
      </pivotArea>
    </format>
    <format dxfId="2125">
      <pivotArea dataOnly="0" labelOnly="1" fieldPosition="0">
        <references count="3">
          <reference field="0" count="1" selected="0">
            <x v="148"/>
          </reference>
          <reference field="1" count="1" selected="0">
            <x v="141"/>
          </reference>
          <reference field="2" count="1">
            <x v="95"/>
          </reference>
        </references>
      </pivotArea>
    </format>
    <format dxfId="2124">
      <pivotArea dataOnly="0" labelOnly="1" fieldPosition="0">
        <references count="3">
          <reference field="0" count="1" selected="0">
            <x v="149"/>
          </reference>
          <reference field="1" count="1" selected="0">
            <x v="142"/>
          </reference>
          <reference field="2" count="1">
            <x v="165"/>
          </reference>
        </references>
      </pivotArea>
    </format>
    <format dxfId="2123">
      <pivotArea dataOnly="0" labelOnly="1" fieldPosition="0">
        <references count="3">
          <reference field="0" count="1" selected="0">
            <x v="150"/>
          </reference>
          <reference field="1" count="1" selected="0">
            <x v="143"/>
          </reference>
          <reference field="2" count="1">
            <x v="166"/>
          </reference>
        </references>
      </pivotArea>
    </format>
    <format dxfId="2122">
      <pivotArea dataOnly="0" labelOnly="1" fieldPosition="0">
        <references count="3">
          <reference field="0" count="1" selected="0">
            <x v="151"/>
          </reference>
          <reference field="1" count="1" selected="0">
            <x v="144"/>
          </reference>
          <reference field="2" count="1">
            <x v="85"/>
          </reference>
        </references>
      </pivotArea>
    </format>
    <format dxfId="2121">
      <pivotArea dataOnly="0" labelOnly="1" fieldPosition="0">
        <references count="3">
          <reference field="0" count="1" selected="0">
            <x v="152"/>
          </reference>
          <reference field="1" count="1" selected="0">
            <x v="145"/>
          </reference>
          <reference field="2" count="1">
            <x v="86"/>
          </reference>
        </references>
      </pivotArea>
    </format>
    <format dxfId="2120">
      <pivotArea dataOnly="0" labelOnly="1" fieldPosition="0">
        <references count="3">
          <reference field="0" count="1" selected="0">
            <x v="153"/>
          </reference>
          <reference field="1" count="1" selected="0">
            <x v="146"/>
          </reference>
          <reference field="2" count="1">
            <x v="54"/>
          </reference>
        </references>
      </pivotArea>
    </format>
    <format dxfId="2119">
      <pivotArea dataOnly="0" labelOnly="1" fieldPosition="0">
        <references count="3">
          <reference field="0" count="1" selected="0">
            <x v="154"/>
          </reference>
          <reference field="1" count="1" selected="0">
            <x v="147"/>
          </reference>
          <reference field="2" count="1">
            <x v="109"/>
          </reference>
        </references>
      </pivotArea>
    </format>
    <format dxfId="2118">
      <pivotArea dataOnly="0" labelOnly="1" fieldPosition="0">
        <references count="3">
          <reference field="0" count="1" selected="0">
            <x v="155"/>
          </reference>
          <reference field="1" count="1" selected="0">
            <x v="148"/>
          </reference>
          <reference field="2" count="1">
            <x v="3"/>
          </reference>
        </references>
      </pivotArea>
    </format>
    <format dxfId="2117">
      <pivotArea dataOnly="0" labelOnly="1" fieldPosition="0">
        <references count="3">
          <reference field="0" count="1" selected="0">
            <x v="159"/>
          </reference>
          <reference field="1" count="1" selected="0">
            <x v="183"/>
          </reference>
          <reference field="2" count="1">
            <x v="122"/>
          </reference>
        </references>
      </pivotArea>
    </format>
    <format dxfId="2116">
      <pivotArea dataOnly="0" labelOnly="1" fieldPosition="0">
        <references count="3">
          <reference field="0" count="1" selected="0">
            <x v="160"/>
          </reference>
          <reference field="1" count="1" selected="0">
            <x v="184"/>
          </reference>
          <reference field="2" count="1">
            <x v="187"/>
          </reference>
        </references>
      </pivotArea>
    </format>
    <format dxfId="2115">
      <pivotArea dataOnly="0" labelOnly="1" fieldPosition="0">
        <references count="3">
          <reference field="0" count="1" selected="0">
            <x v="161"/>
          </reference>
          <reference field="1" count="1" selected="0">
            <x v="185"/>
          </reference>
          <reference field="2" count="1">
            <x v="186"/>
          </reference>
        </references>
      </pivotArea>
    </format>
    <format dxfId="2114">
      <pivotArea dataOnly="0" labelOnly="1" fieldPosition="0">
        <references count="3">
          <reference field="0" count="1" selected="0">
            <x v="162"/>
          </reference>
          <reference field="1" count="1" selected="0">
            <x v="186"/>
          </reference>
          <reference field="2" count="1">
            <x v="125"/>
          </reference>
        </references>
      </pivotArea>
    </format>
    <format dxfId="2113">
      <pivotArea dataOnly="0" labelOnly="1" fieldPosition="0">
        <references count="3">
          <reference field="0" count="1" selected="0">
            <x v="164"/>
          </reference>
          <reference field="1" count="1" selected="0">
            <x v="188"/>
          </reference>
          <reference field="2" count="1">
            <x v="119"/>
          </reference>
        </references>
      </pivotArea>
    </format>
    <format dxfId="2112">
      <pivotArea dataOnly="0" labelOnly="1" fieldPosition="0">
        <references count="3">
          <reference field="0" count="1" selected="0">
            <x v="165"/>
          </reference>
          <reference field="1" count="1" selected="0">
            <x v="189"/>
          </reference>
          <reference field="2" count="1">
            <x v="156"/>
          </reference>
        </references>
      </pivotArea>
    </format>
    <format dxfId="2111">
      <pivotArea dataOnly="0" labelOnly="1" fieldPosition="0">
        <references count="3">
          <reference field="0" count="1" selected="0">
            <x v="166"/>
          </reference>
          <reference field="1" count="1" selected="0">
            <x v="190"/>
          </reference>
          <reference field="2" count="1">
            <x v="213"/>
          </reference>
        </references>
      </pivotArea>
    </format>
    <format dxfId="2110">
      <pivotArea dataOnly="0" labelOnly="1" fieldPosition="0">
        <references count="3">
          <reference field="0" count="1" selected="0">
            <x v="167"/>
          </reference>
          <reference field="1" count="1" selected="0">
            <x v="199"/>
          </reference>
          <reference field="2" count="1">
            <x v="56"/>
          </reference>
        </references>
      </pivotArea>
    </format>
    <format dxfId="2109">
      <pivotArea dataOnly="0" labelOnly="1" fieldPosition="0">
        <references count="3">
          <reference field="0" count="1" selected="0">
            <x v="168"/>
          </reference>
          <reference field="1" count="1" selected="0">
            <x v="200"/>
          </reference>
          <reference field="2" count="1">
            <x v="9"/>
          </reference>
        </references>
      </pivotArea>
    </format>
    <format dxfId="2108">
      <pivotArea dataOnly="0" labelOnly="1" fieldPosition="0">
        <references count="3">
          <reference field="0" count="1" selected="0">
            <x v="171"/>
          </reference>
          <reference field="1" count="1" selected="0">
            <x v="203"/>
          </reference>
          <reference field="2" count="1">
            <x v="10"/>
          </reference>
        </references>
      </pivotArea>
    </format>
    <format dxfId="2107">
      <pivotArea dataOnly="0" labelOnly="1" fieldPosition="0">
        <references count="3">
          <reference field="0" count="1" selected="0">
            <x v="172"/>
          </reference>
          <reference field="1" count="1" selected="0">
            <x v="204"/>
          </reference>
          <reference field="2" count="1">
            <x v="216"/>
          </reference>
        </references>
      </pivotArea>
    </format>
    <format dxfId="2106">
      <pivotArea dataOnly="0" labelOnly="1" fieldPosition="0">
        <references count="3">
          <reference field="0" count="1" selected="0">
            <x v="173"/>
          </reference>
          <reference field="1" count="1" selected="0">
            <x v="205"/>
          </reference>
          <reference field="2" count="1">
            <x v="94"/>
          </reference>
        </references>
      </pivotArea>
    </format>
    <format dxfId="2105">
      <pivotArea dataOnly="0" labelOnly="1" fieldPosition="0">
        <references count="3">
          <reference field="0" count="1" selected="0">
            <x v="175"/>
          </reference>
          <reference field="1" count="1" selected="0">
            <x v="207"/>
          </reference>
          <reference field="2" count="1">
            <x v="172"/>
          </reference>
        </references>
      </pivotArea>
    </format>
    <format dxfId="2104">
      <pivotArea dataOnly="0" labelOnly="1" fieldPosition="0">
        <references count="3">
          <reference field="0" count="1" selected="0">
            <x v="176"/>
          </reference>
          <reference field="1" count="1" selected="0">
            <x v="208"/>
          </reference>
          <reference field="2" count="1">
            <x v="215"/>
          </reference>
        </references>
      </pivotArea>
    </format>
    <format dxfId="2103">
      <pivotArea dataOnly="0" labelOnly="1" fieldPosition="0">
        <references count="3">
          <reference field="0" count="1" selected="0">
            <x v="177"/>
          </reference>
          <reference field="1" count="1" selected="0">
            <x v="209"/>
          </reference>
          <reference field="2" count="1">
            <x v="114"/>
          </reference>
        </references>
      </pivotArea>
    </format>
    <format dxfId="2102">
      <pivotArea dataOnly="0" labelOnly="1" fieldPosition="0">
        <references count="3">
          <reference field="0" count="1" selected="0">
            <x v="178"/>
          </reference>
          <reference field="1" count="1" selected="0">
            <x v="210"/>
          </reference>
          <reference field="2" count="1">
            <x v="11"/>
          </reference>
        </references>
      </pivotArea>
    </format>
    <format dxfId="2101">
      <pivotArea dataOnly="0" labelOnly="1" fieldPosition="0">
        <references count="3">
          <reference field="0" count="1" selected="0">
            <x v="179"/>
          </reference>
          <reference field="1" count="1" selected="0">
            <x v="211"/>
          </reference>
          <reference field="2" count="1">
            <x v="96"/>
          </reference>
        </references>
      </pivotArea>
    </format>
    <format dxfId="2100">
      <pivotArea dataOnly="0" labelOnly="1" fieldPosition="0">
        <references count="3">
          <reference field="0" count="1" selected="0">
            <x v="180"/>
          </reference>
          <reference field="1" count="1" selected="0">
            <x v="212"/>
          </reference>
          <reference field="2" count="1">
            <x v="97"/>
          </reference>
        </references>
      </pivotArea>
    </format>
    <format dxfId="2099">
      <pivotArea dataOnly="0" labelOnly="1" fieldPosition="0">
        <references count="3">
          <reference field="0" count="1" selected="0">
            <x v="181"/>
          </reference>
          <reference field="1" count="1" selected="0">
            <x v="213"/>
          </reference>
          <reference field="2" count="1">
            <x v="234"/>
          </reference>
        </references>
      </pivotArea>
    </format>
    <format dxfId="2098">
      <pivotArea dataOnly="0" labelOnly="1" fieldPosition="0">
        <references count="3">
          <reference field="0" count="1" selected="0">
            <x v="182"/>
          </reference>
          <reference field="1" count="1" selected="0">
            <x v="214"/>
          </reference>
          <reference field="2" count="1">
            <x v="235"/>
          </reference>
        </references>
      </pivotArea>
    </format>
    <format dxfId="2097">
      <pivotArea dataOnly="0" labelOnly="1" fieldPosition="0">
        <references count="3">
          <reference field="0" count="1" selected="0">
            <x v="183"/>
          </reference>
          <reference field="1" count="1" selected="0">
            <x v="215"/>
          </reference>
          <reference field="2" count="1">
            <x v="206"/>
          </reference>
        </references>
      </pivotArea>
    </format>
    <format dxfId="2096">
      <pivotArea dataOnly="0" labelOnly="1" fieldPosition="0">
        <references count="3">
          <reference field="0" count="1" selected="0">
            <x v="184"/>
          </reference>
          <reference field="1" count="1" selected="0">
            <x v="216"/>
          </reference>
          <reference field="2" count="1">
            <x v="111"/>
          </reference>
        </references>
      </pivotArea>
    </format>
    <format dxfId="2095">
      <pivotArea dataOnly="0" labelOnly="1" fieldPosition="0">
        <references count="3">
          <reference field="0" count="1" selected="0">
            <x v="185"/>
          </reference>
          <reference field="1" count="1" selected="0">
            <x v="217"/>
          </reference>
          <reference field="2" count="1">
            <x v="113"/>
          </reference>
        </references>
      </pivotArea>
    </format>
    <format dxfId="2094">
      <pivotArea dataOnly="0" labelOnly="1" fieldPosition="0">
        <references count="3">
          <reference field="0" count="1" selected="0">
            <x v="186"/>
          </reference>
          <reference field="1" count="1" selected="0">
            <x v="218"/>
          </reference>
          <reference field="2" count="1">
            <x v="93"/>
          </reference>
        </references>
      </pivotArea>
    </format>
    <format dxfId="2093">
      <pivotArea dataOnly="0" labelOnly="1" fieldPosition="0">
        <references count="3">
          <reference field="0" count="1" selected="0">
            <x v="187"/>
          </reference>
          <reference field="1" count="1" selected="0">
            <x v="219"/>
          </reference>
          <reference field="2" count="1">
            <x v="104"/>
          </reference>
        </references>
      </pivotArea>
    </format>
    <format dxfId="2092">
      <pivotArea dataOnly="0" labelOnly="1" fieldPosition="0">
        <references count="3">
          <reference field="0" count="1" selected="0">
            <x v="188"/>
          </reference>
          <reference field="1" count="1" selected="0">
            <x v="220"/>
          </reference>
          <reference field="2" count="1">
            <x v="196"/>
          </reference>
        </references>
      </pivotArea>
    </format>
    <format dxfId="2091">
      <pivotArea dataOnly="0" labelOnly="1" fieldPosition="0">
        <references count="3">
          <reference field="0" count="1" selected="0">
            <x v="189"/>
          </reference>
          <reference field="1" count="1" selected="0">
            <x v="221"/>
          </reference>
          <reference field="2" count="1">
            <x v="182"/>
          </reference>
        </references>
      </pivotArea>
    </format>
    <format dxfId="2090">
      <pivotArea dataOnly="0" labelOnly="1" fieldPosition="0">
        <references count="3">
          <reference field="0" count="1" selected="0">
            <x v="192"/>
          </reference>
          <reference field="1" count="1" selected="0">
            <x v="224"/>
          </reference>
          <reference field="2" count="1">
            <x v="80"/>
          </reference>
        </references>
      </pivotArea>
    </format>
    <format dxfId="2089">
      <pivotArea dataOnly="0" labelOnly="1" fieldPosition="0">
        <references count="3">
          <reference field="0" count="1" selected="0">
            <x v="193"/>
          </reference>
          <reference field="1" count="1" selected="0">
            <x v="225"/>
          </reference>
          <reference field="2" count="1">
            <x v="238"/>
          </reference>
        </references>
      </pivotArea>
    </format>
    <format dxfId="2088">
      <pivotArea dataOnly="0" labelOnly="1" fieldPosition="0">
        <references count="3">
          <reference field="0" count="1" selected="0">
            <x v="197"/>
          </reference>
          <reference field="1" count="1" selected="0">
            <x v="236"/>
          </reference>
          <reference field="2" count="1">
            <x v="102"/>
          </reference>
        </references>
      </pivotArea>
    </format>
    <format dxfId="2087">
      <pivotArea dataOnly="0" labelOnly="1" fieldPosition="0">
        <references count="3">
          <reference field="0" count="1" selected="0">
            <x v="199"/>
          </reference>
          <reference field="1" count="1" selected="0">
            <x v="238"/>
          </reference>
          <reference field="2" count="1">
            <x v="33"/>
          </reference>
        </references>
      </pivotArea>
    </format>
    <format dxfId="2086">
      <pivotArea dataOnly="0" labelOnly="1" fieldPosition="0">
        <references count="3">
          <reference field="0" count="1" selected="0">
            <x v="200"/>
          </reference>
          <reference field="1" count="1" selected="0">
            <x v="239"/>
          </reference>
          <reference field="2" count="1">
            <x v="34"/>
          </reference>
        </references>
      </pivotArea>
    </format>
    <format dxfId="2085">
      <pivotArea dataOnly="0" labelOnly="1" fieldPosition="0">
        <references count="3">
          <reference field="0" count="1" selected="0">
            <x v="201"/>
          </reference>
          <reference field="1" count="1" selected="0">
            <x v="240"/>
          </reference>
          <reference field="2" count="1">
            <x v="37"/>
          </reference>
        </references>
      </pivotArea>
    </format>
    <format dxfId="2084">
      <pivotArea dataOnly="0" labelOnly="1" fieldPosition="0">
        <references count="3">
          <reference field="0" count="1" selected="0">
            <x v="204"/>
          </reference>
          <reference field="1" count="1" selected="0">
            <x v="149"/>
          </reference>
          <reference field="2" count="1">
            <x v="117"/>
          </reference>
        </references>
      </pivotArea>
    </format>
    <format dxfId="2083">
      <pivotArea dataOnly="0" labelOnly="1" fieldPosition="0">
        <references count="3">
          <reference field="0" count="1" selected="0">
            <x v="206"/>
          </reference>
          <reference field="1" count="1" selected="0">
            <x v="151"/>
          </reference>
          <reference field="2" count="1">
            <x v="159"/>
          </reference>
        </references>
      </pivotArea>
    </format>
    <format dxfId="2082">
      <pivotArea dataOnly="0" labelOnly="1" fieldPosition="0">
        <references count="3">
          <reference field="0" count="1" selected="0">
            <x v="207"/>
          </reference>
          <reference field="1" count="1" selected="0">
            <x v="152"/>
          </reference>
          <reference field="2" count="1">
            <x v="81"/>
          </reference>
        </references>
      </pivotArea>
    </format>
    <format dxfId="2081">
      <pivotArea dataOnly="0" labelOnly="1" fieldPosition="0">
        <references count="3">
          <reference field="0" count="1" selected="0">
            <x v="208"/>
          </reference>
          <reference field="1" count="1" selected="0">
            <x v="153"/>
          </reference>
          <reference field="2" count="1">
            <x v="103"/>
          </reference>
        </references>
      </pivotArea>
    </format>
    <format dxfId="2080">
      <pivotArea dataOnly="0" labelOnly="1" fieldPosition="0">
        <references count="3">
          <reference field="0" count="1" selected="0">
            <x v="209"/>
          </reference>
          <reference field="1" count="1" selected="0">
            <x v="154"/>
          </reference>
          <reference field="2" count="1">
            <x v="98"/>
          </reference>
        </references>
      </pivotArea>
    </format>
    <format dxfId="2079">
      <pivotArea dataOnly="0" labelOnly="1" fieldPosition="0">
        <references count="3">
          <reference field="0" count="1" selected="0">
            <x v="210"/>
          </reference>
          <reference field="1" count="1" selected="0">
            <x v="155"/>
          </reference>
          <reference field="2" count="1">
            <x v="162"/>
          </reference>
        </references>
      </pivotArea>
    </format>
    <format dxfId="2078">
      <pivotArea dataOnly="0" labelOnly="1" fieldPosition="0">
        <references count="3">
          <reference field="0" count="1" selected="0">
            <x v="211"/>
          </reference>
          <reference field="1" count="1" selected="0">
            <x v="156"/>
          </reference>
          <reference field="2" count="1">
            <x v="164"/>
          </reference>
        </references>
      </pivotArea>
    </format>
    <format dxfId="2077">
      <pivotArea dataOnly="0" labelOnly="1" fieldPosition="0">
        <references count="3">
          <reference field="0" count="1" selected="0">
            <x v="212"/>
          </reference>
          <reference field="1" count="1" selected="0">
            <x v="157"/>
          </reference>
          <reference field="2" count="1">
            <x v="170"/>
          </reference>
        </references>
      </pivotArea>
    </format>
    <format dxfId="2076">
      <pivotArea dataOnly="0" labelOnly="1" fieldPosition="0">
        <references count="3">
          <reference field="0" count="1" selected="0">
            <x v="214"/>
          </reference>
          <reference field="1" count="1" selected="0">
            <x v="159"/>
          </reference>
          <reference field="2" count="1">
            <x v="139"/>
          </reference>
        </references>
      </pivotArea>
    </format>
    <format dxfId="2075">
      <pivotArea dataOnly="0" labelOnly="1" fieldPosition="0">
        <references count="3">
          <reference field="0" count="1" selected="0">
            <x v="215"/>
          </reference>
          <reference field="1" count="1" selected="0">
            <x v="160"/>
          </reference>
          <reference field="2" count="1">
            <x v="137"/>
          </reference>
        </references>
      </pivotArea>
    </format>
    <format dxfId="2074">
      <pivotArea dataOnly="0" labelOnly="1" fieldPosition="0">
        <references count="3">
          <reference field="0" count="1" selected="0">
            <x v="216"/>
          </reference>
          <reference field="1" count="1" selected="0">
            <x v="161"/>
          </reference>
          <reference field="2" count="1">
            <x v="136"/>
          </reference>
        </references>
      </pivotArea>
    </format>
    <format dxfId="2073">
      <pivotArea dataOnly="0" labelOnly="1" fieldPosition="0">
        <references count="3">
          <reference field="0" count="1" selected="0">
            <x v="217"/>
          </reference>
          <reference field="1" count="1" selected="0">
            <x v="162"/>
          </reference>
          <reference field="2" count="1">
            <x v="13"/>
          </reference>
        </references>
      </pivotArea>
    </format>
    <format dxfId="2072">
      <pivotArea dataOnly="0" labelOnly="1" fieldPosition="0">
        <references count="3">
          <reference field="0" count="1" selected="0">
            <x v="218"/>
          </reference>
          <reference field="1" count="1" selected="0">
            <x v="163"/>
          </reference>
          <reference field="2" count="1">
            <x v="179"/>
          </reference>
        </references>
      </pivotArea>
    </format>
    <format dxfId="2071">
      <pivotArea dataOnly="0" labelOnly="1" fieldPosition="0">
        <references count="3">
          <reference field="0" count="1" selected="0">
            <x v="219"/>
          </reference>
          <reference field="1" count="1" selected="0">
            <x v="164"/>
          </reference>
          <reference field="2" count="1">
            <x v="138"/>
          </reference>
        </references>
      </pivotArea>
    </format>
    <format dxfId="2070">
      <pivotArea dataOnly="0" labelOnly="1" fieldPosition="0">
        <references count="3">
          <reference field="0" count="1" selected="0">
            <x v="220"/>
          </reference>
          <reference field="1" count="1" selected="0">
            <x v="165"/>
          </reference>
          <reference field="2" count="1">
            <x v="142"/>
          </reference>
        </references>
      </pivotArea>
    </format>
    <format dxfId="2069">
      <pivotArea dataOnly="0" labelOnly="1" fieldPosition="0">
        <references count="3">
          <reference field="0" count="1" selected="0">
            <x v="221"/>
          </reference>
          <reference field="1" count="1" selected="0">
            <x v="166"/>
          </reference>
          <reference field="2" count="1">
            <x v="143"/>
          </reference>
        </references>
      </pivotArea>
    </format>
    <format dxfId="2068">
      <pivotArea dataOnly="0" labelOnly="1" fieldPosition="0">
        <references count="3">
          <reference field="0" count="1" selected="0">
            <x v="223"/>
          </reference>
          <reference field="1" count="1" selected="0">
            <x v="168"/>
          </reference>
          <reference field="2" count="1">
            <x v="71"/>
          </reference>
        </references>
      </pivotArea>
    </format>
    <format dxfId="2067">
      <pivotArea dataOnly="0" labelOnly="1" fieldPosition="0">
        <references count="3">
          <reference field="0" count="1" selected="0">
            <x v="224"/>
          </reference>
          <reference field="1" count="1" selected="0">
            <x v="169"/>
          </reference>
          <reference field="2" count="1">
            <x v="121"/>
          </reference>
        </references>
      </pivotArea>
    </format>
    <format dxfId="2066">
      <pivotArea dataOnly="0" labelOnly="1" fieldPosition="0">
        <references count="3">
          <reference field="0" count="1" selected="0">
            <x v="225"/>
          </reference>
          <reference field="1" count="1" selected="0">
            <x v="170"/>
          </reference>
          <reference field="2" count="1">
            <x v="120"/>
          </reference>
        </references>
      </pivotArea>
    </format>
    <format dxfId="2065">
      <pivotArea dataOnly="0" labelOnly="1" fieldPosition="0">
        <references count="3">
          <reference field="0" count="1" selected="0">
            <x v="226"/>
          </reference>
          <reference field="1" count="1" selected="0">
            <x v="171"/>
          </reference>
          <reference field="2" count="1">
            <x v="41"/>
          </reference>
        </references>
      </pivotArea>
    </format>
    <format dxfId="2064">
      <pivotArea dataOnly="0" labelOnly="1" fieldPosition="0">
        <references count="3">
          <reference field="0" count="1" selected="0">
            <x v="227"/>
          </reference>
          <reference field="1" count="1" selected="0">
            <x v="172"/>
          </reference>
          <reference field="2" count="1">
            <x v="42"/>
          </reference>
        </references>
      </pivotArea>
    </format>
    <format dxfId="2063">
      <pivotArea dataOnly="0" labelOnly="1" fieldPosition="0">
        <references count="3">
          <reference field="0" count="1" selected="0">
            <x v="228"/>
          </reference>
          <reference field="1" count="1" selected="0">
            <x v="173"/>
          </reference>
          <reference field="2" count="1">
            <x v="145"/>
          </reference>
        </references>
      </pivotArea>
    </format>
    <format dxfId="2062">
      <pivotArea dataOnly="0" labelOnly="1" fieldPosition="0">
        <references count="3">
          <reference field="0" count="1" selected="0">
            <x v="229"/>
          </reference>
          <reference field="1" count="1" selected="0">
            <x v="174"/>
          </reference>
          <reference field="2" count="1">
            <x v="91"/>
          </reference>
        </references>
      </pivotArea>
    </format>
    <format dxfId="2061">
      <pivotArea dataOnly="0" labelOnly="1" fieldPosition="0">
        <references count="3">
          <reference field="0" count="1" selected="0">
            <x v="230"/>
          </reference>
          <reference field="1" count="1" selected="0">
            <x v="175"/>
          </reference>
          <reference field="2" count="1">
            <x v="160"/>
          </reference>
        </references>
      </pivotArea>
    </format>
    <format dxfId="2060">
      <pivotArea dataOnly="0" labelOnly="1" fieldPosition="0">
        <references count="3">
          <reference field="0" count="1" selected="0">
            <x v="231"/>
          </reference>
          <reference field="1" count="1" selected="0">
            <x v="176"/>
          </reference>
          <reference field="2" count="1">
            <x v="42"/>
          </reference>
        </references>
      </pivotArea>
    </format>
    <format dxfId="2059">
      <pivotArea dataOnly="0" labelOnly="1" fieldPosition="0">
        <references count="3">
          <reference field="0" count="1" selected="0">
            <x v="232"/>
          </reference>
          <reference field="1" count="1" selected="0">
            <x v="177"/>
          </reference>
          <reference field="2" count="1">
            <x v="47"/>
          </reference>
        </references>
      </pivotArea>
    </format>
    <format dxfId="2058">
      <pivotArea dataOnly="0" labelOnly="1" fieldPosition="0">
        <references count="3">
          <reference field="0" count="1" selected="0">
            <x v="233"/>
          </reference>
          <reference field="1" count="1" selected="0">
            <x v="178"/>
          </reference>
          <reference field="2" count="1">
            <x v="32"/>
          </reference>
        </references>
      </pivotArea>
    </format>
    <format dxfId="2057">
      <pivotArea dataOnly="0" labelOnly="1" fieldPosition="0">
        <references count="3">
          <reference field="0" count="1" selected="0">
            <x v="234"/>
          </reference>
          <reference field="1" count="1" selected="0">
            <x v="179"/>
          </reference>
          <reference field="2" count="1">
            <x v="163"/>
          </reference>
        </references>
      </pivotArea>
    </format>
    <format dxfId="2056">
      <pivotArea dataOnly="0" labelOnly="1" fieldPosition="0">
        <references count="3">
          <reference field="0" count="1" selected="0">
            <x v="235"/>
          </reference>
          <reference field="1" count="1" selected="0">
            <x v="191"/>
          </reference>
          <reference field="2" count="1">
            <x v="155"/>
          </reference>
        </references>
      </pivotArea>
    </format>
    <format dxfId="2055">
      <pivotArea dataOnly="0" labelOnly="1" fieldPosition="0">
        <references count="3">
          <reference field="0" count="1" selected="0">
            <x v="236"/>
          </reference>
          <reference field="1" count="1" selected="0">
            <x v="192"/>
          </reference>
          <reference field="2" count="1">
            <x v="27"/>
          </reference>
        </references>
      </pivotArea>
    </format>
    <format dxfId="2054">
      <pivotArea dataOnly="0" labelOnly="1" fieldPosition="0">
        <references count="3">
          <reference field="0" count="1" selected="0">
            <x v="237"/>
          </reference>
          <reference field="1" count="1" selected="0">
            <x v="193"/>
          </reference>
          <reference field="2" count="1">
            <x v="89"/>
          </reference>
        </references>
      </pivotArea>
    </format>
    <format dxfId="2053">
      <pivotArea dataOnly="0" labelOnly="1" fieldPosition="0">
        <references count="3">
          <reference field="0" count="1" selected="0">
            <x v="238"/>
          </reference>
          <reference field="1" count="1" selected="0">
            <x v="194"/>
          </reference>
          <reference field="2" count="1">
            <x v="25"/>
          </reference>
        </references>
      </pivotArea>
    </format>
    <format dxfId="2052">
      <pivotArea dataOnly="0" labelOnly="1" fieldPosition="0">
        <references count="3">
          <reference field="0" count="1" selected="0">
            <x v="239"/>
          </reference>
          <reference field="1" count="1" selected="0">
            <x v="195"/>
          </reference>
          <reference field="2" count="1">
            <x v="28"/>
          </reference>
        </references>
      </pivotArea>
    </format>
    <format dxfId="2051">
      <pivotArea dataOnly="0" labelOnly="1" fieldPosition="0">
        <references count="3">
          <reference field="0" count="1" selected="0">
            <x v="240"/>
          </reference>
          <reference field="1" count="1" selected="0">
            <x v="196"/>
          </reference>
          <reference field="2" count="1">
            <x v="40"/>
          </reference>
        </references>
      </pivotArea>
    </format>
    <format dxfId="2050">
      <pivotArea dataOnly="0" labelOnly="1" fieldPosition="0">
        <references count="3">
          <reference field="0" count="1" selected="0">
            <x v="241"/>
          </reference>
          <reference field="1" count="1" selected="0">
            <x v="197"/>
          </reference>
          <reference field="2" count="1">
            <x v="195"/>
          </reference>
        </references>
      </pivotArea>
    </format>
    <format dxfId="2049">
      <pivotArea dataOnly="0" labelOnly="1" fieldPosition="0">
        <references count="3">
          <reference field="0" count="1" selected="0">
            <x v="242"/>
          </reference>
          <reference field="1" count="1" selected="0">
            <x v="198"/>
          </reference>
          <reference field="2" count="1">
            <x v="132"/>
          </reference>
        </references>
      </pivotArea>
    </format>
    <format dxfId="2048">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47">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4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45">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44">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43">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42">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4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40">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39">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38">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37">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3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35">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34">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33">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32">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3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30">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29">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28">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27">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2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25">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24">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23">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22">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2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20">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19">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18">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17">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1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15">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14">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13">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12">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1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10">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09">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08">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07">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0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05">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04">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03">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02">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0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00">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1999">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1998">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1997">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199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1995">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1994">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1993">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1992">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199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1990">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1989">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1988">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1987">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198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1985">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1984">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1983">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1982">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198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1980">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1979">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1978">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1977">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197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1975">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1974">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1973">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1972">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197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1970">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1969">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1968">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1967">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196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1965">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1964">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1963">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1962">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196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1960">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59">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58">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57">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5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55">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54">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53">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52">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5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50">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49">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48">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47">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4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45">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44">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43">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42">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4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40">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39">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38">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37">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3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35">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34">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33">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32">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3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30">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29">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28">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27">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2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25">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24">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23">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22">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2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20">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19">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18">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17">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1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15">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14">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13">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12">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1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10">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09">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08">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07">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0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05">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04">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03">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02">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0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00">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899">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898">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897">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89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895">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894">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893">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892">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89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890">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889">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888">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887">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88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885">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88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883">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882">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88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88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87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878">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877">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87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875">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874">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873">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872">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87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87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86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86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867">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86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865">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864">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863">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862">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86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860">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59">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58">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57">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5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55">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54">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52">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5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50">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49">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48">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47">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4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45">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44">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43">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42">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4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4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39">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38">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37">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3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35">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34">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33">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32">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3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30">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29">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28">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27">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2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25">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24">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23">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22">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2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20">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19">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18">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17">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1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15">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14">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13">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07">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0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0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0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03">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02">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0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00">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799">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798">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797">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79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795">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794">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793">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792">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79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79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78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78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78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78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78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784">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783">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782">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78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78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77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778">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777">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77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775">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774">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773">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772">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77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770">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769">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76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76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76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765">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764">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763">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76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76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760">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59">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58">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57">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5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55">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5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5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52">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5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50">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49">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4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47">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4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45">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44">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43">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42">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4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40">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39">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38">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37">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3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35">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34">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33">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32">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3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30">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29">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28">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27">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2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25">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24">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23">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22">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2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2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1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18">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17">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1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15">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14">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13">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12">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1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10">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09">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08">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07">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0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05">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04">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03">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02">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0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00">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699">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698">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697">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69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695">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694">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693">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692">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69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690">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689">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688">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687">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68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685">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684">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683">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682">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68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680">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679">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678">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677">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67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675">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674">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673">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672">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67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670">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669">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668">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667">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66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665">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664">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663">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662">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66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660">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59">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58">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57">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5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55">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54">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53">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52">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5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50">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49">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48">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47">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4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45">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44">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43">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42">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4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40">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39">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38">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37">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3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35">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34">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33">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32">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3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30">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29">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28">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27">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2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25">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24">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23">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22">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2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20">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19">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18">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17">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1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15">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14">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13">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12">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1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10">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09">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08">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07">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0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05">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04">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03">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0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0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00">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599">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598">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597">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59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595">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594">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593">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592">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59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590">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589">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588">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587">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58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585">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584">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583">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582">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58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580">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57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57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577">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57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575">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57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573">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572">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57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570">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569">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568">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567">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56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565">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564">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563">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562">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56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560">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59">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58">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57">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5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55">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5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53">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52">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5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50">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49">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48">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47">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4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45">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44">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4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4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4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4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3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3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3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3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35">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34">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33">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32">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3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30">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29">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28">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27">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2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25">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2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2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22">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2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20">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19">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1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17">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1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15">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14">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1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1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1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10">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09">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0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07">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0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0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04">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03">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02">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0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00">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499">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498">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497">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49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495">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494">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493">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4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49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490">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489">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488">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487">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48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48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48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483">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482">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48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480">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47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478">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477">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47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475">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474">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473">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472">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47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470">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46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468">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467">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46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46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464">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463">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462">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46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460">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5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58">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57">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5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5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54">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53">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52">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5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50">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4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48">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47">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4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45">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44">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4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42">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4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40">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39">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38">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3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3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35">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34">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33">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32">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3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3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2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28">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27">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2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25">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24">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23">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22">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2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20">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19">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1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1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1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15">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14">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13">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12">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1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10">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09">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08">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07">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0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05">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04">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03">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02">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0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00">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399">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398">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397">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39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5">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9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2">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0">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89">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88">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87">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8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85">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84">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83">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82">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8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80">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7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8">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7">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7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75">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4">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3">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7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70">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9">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8">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67">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65">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64">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63">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62">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6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6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9">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8">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57">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5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55">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54">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53">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2">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0">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9">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8">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7">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5">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4">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3">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42">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0">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38">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37">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3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35">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34">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33">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32">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3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30">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29">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28">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27">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24">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23">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22">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0">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19">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18">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17">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1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5">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4">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3">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2">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1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10">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09">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08">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0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0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05">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04">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3">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2">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0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00">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299">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298">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297">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29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29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29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9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9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8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288">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287">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28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5">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28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82">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28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280">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279">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8">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7">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27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275">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74">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273">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272">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27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270">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269">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268">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267">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26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265">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264">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263">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262">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26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260">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259">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8">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7">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255">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254">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253">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252">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25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250">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249">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8">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7">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5">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4">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243">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2">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24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40">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39">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8">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7">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3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5">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4">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3">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3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3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2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2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27">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22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25">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24">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223">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222">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22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220">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219">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18">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7">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21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5">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21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21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2">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210">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9">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208">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20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20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20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04">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03">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202">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20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200">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199">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198">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197">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19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5">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4">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193">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192">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19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190">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9">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8">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7">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18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185">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18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18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182">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18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180">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179">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178">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177">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17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175">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174">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173">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172">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17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170">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169">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168">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167">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16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5">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4">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163">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162">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16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160">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9">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8">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7">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55">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54">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5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5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5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50">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49">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48">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7">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14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14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14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142">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4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40">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39">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38">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137">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13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135">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34">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133">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132">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13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130">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12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12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127">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2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25">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124">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23">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2">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12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119">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1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1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1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115">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114">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11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11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11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11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0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0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10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10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10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10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10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2">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0">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099">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098">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097">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09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095">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094">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093">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2">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0">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9">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8">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087">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085">
      <pivotArea type="all" dataOnly="0" outline="0" fieldPosition="0"/>
    </format>
    <format dxfId="1084">
      <pivotArea field="0" type="button" dataOnly="0" labelOnly="1" outline="0" axis="axisRow" fieldPosition="0"/>
    </format>
    <format dxfId="1083">
      <pivotArea field="1" type="button" dataOnly="0" labelOnly="1" outline="0" axis="axisRow" fieldPosition="1"/>
    </format>
    <format dxfId="1082">
      <pivotArea field="2" type="button" dataOnly="0" labelOnly="1" outline="0" axis="axisRow" fieldPosition="2"/>
    </format>
    <format dxfId="1081">
      <pivotArea field="3" type="button" dataOnly="0" labelOnly="1" outline="0" axis="axisRow" fieldPosition="3"/>
    </format>
    <format dxfId="1080">
      <pivotArea field="12" type="button" dataOnly="0" labelOnly="1" outline="0" axis="axisRow" fieldPosition="4"/>
    </format>
    <format dxfId="1079">
      <pivotArea field="13" type="button" dataOnly="0" labelOnly="1" outline="0" axis="axisRow" fieldPosition="5"/>
    </format>
    <format dxfId="1078">
      <pivotArea field="14" type="button" dataOnly="0" labelOnly="1" outline="0" axis="axisRow" fieldPosition="6"/>
    </format>
    <format dxfId="1077">
      <pivotArea field="15" type="button" dataOnly="0" labelOnly="1" outline="0" axis="axisRow" fieldPosition="7"/>
    </format>
    <format dxfId="1076">
      <pivotArea field="16" type="button" dataOnly="0" labelOnly="1" outline="0" axis="axisRow" fieldPosition="8"/>
    </format>
    <format dxfId="1075">
      <pivotArea field="17" type="button" dataOnly="0" labelOnly="1" outline="0" axis="axisRow" fieldPosition="9"/>
    </format>
    <format dxfId="1074">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073">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072">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071">
      <pivotArea dataOnly="0" labelOnly="1" fieldPosition="0">
        <references count="1">
          <reference field="0" count="18">
            <x v="225"/>
            <x v="226"/>
            <x v="227"/>
            <x v="228"/>
            <x v="229"/>
            <x v="230"/>
            <x v="231"/>
            <x v="232"/>
            <x v="233"/>
            <x v="234"/>
            <x v="235"/>
            <x v="236"/>
            <x v="237"/>
            <x v="238"/>
            <x v="239"/>
            <x v="240"/>
            <x v="241"/>
            <x v="242"/>
          </reference>
        </references>
      </pivotArea>
    </format>
    <format dxfId="1070">
      <pivotArea dataOnly="0" labelOnly="1" fieldPosition="0">
        <references count="2">
          <reference field="0" count="1" selected="0">
            <x v="0"/>
          </reference>
          <reference field="1" count="1">
            <x v="228"/>
          </reference>
        </references>
      </pivotArea>
    </format>
    <format dxfId="1069">
      <pivotArea dataOnly="0" labelOnly="1" fieldPosition="0">
        <references count="2">
          <reference field="0" count="1" selected="0">
            <x v="2"/>
          </reference>
          <reference field="1" count="1">
            <x v="230"/>
          </reference>
        </references>
      </pivotArea>
    </format>
    <format dxfId="1068">
      <pivotArea dataOnly="0" labelOnly="1" fieldPosition="0">
        <references count="2">
          <reference field="0" count="1" selected="0">
            <x v="3"/>
          </reference>
          <reference field="1" count="1">
            <x v="231"/>
          </reference>
        </references>
      </pivotArea>
    </format>
    <format dxfId="1067">
      <pivotArea dataOnly="0" labelOnly="1" fieldPosition="0">
        <references count="2">
          <reference field="0" count="1" selected="0">
            <x v="4"/>
          </reference>
          <reference field="1" count="1">
            <x v="232"/>
          </reference>
        </references>
      </pivotArea>
    </format>
    <format dxfId="1066">
      <pivotArea dataOnly="0" labelOnly="1" fieldPosition="0">
        <references count="2">
          <reference field="0" count="1" selected="0">
            <x v="5"/>
          </reference>
          <reference field="1" count="1">
            <x v="233"/>
          </reference>
        </references>
      </pivotArea>
    </format>
    <format dxfId="1065">
      <pivotArea dataOnly="0" labelOnly="1" fieldPosition="0">
        <references count="2">
          <reference field="0" count="1" selected="0">
            <x v="7"/>
          </reference>
          <reference field="1" count="1">
            <x v="118"/>
          </reference>
        </references>
      </pivotArea>
    </format>
    <format dxfId="1064">
      <pivotArea dataOnly="0" labelOnly="1" fieldPosition="0">
        <references count="2">
          <reference field="0" count="1" selected="0">
            <x v="9"/>
          </reference>
          <reference field="1" count="1">
            <x v="120"/>
          </reference>
        </references>
      </pivotArea>
    </format>
    <format dxfId="1063">
      <pivotArea dataOnly="0" labelOnly="1" fieldPosition="0">
        <references count="2">
          <reference field="0" count="1" selected="0">
            <x v="10"/>
          </reference>
          <reference field="1" count="1">
            <x v="121"/>
          </reference>
        </references>
      </pivotArea>
    </format>
    <format dxfId="1062">
      <pivotArea dataOnly="0" labelOnly="1" fieldPosition="0">
        <references count="2">
          <reference field="0" count="1" selected="0">
            <x v="11"/>
          </reference>
          <reference field="1" count="1">
            <x v="122"/>
          </reference>
        </references>
      </pivotArea>
    </format>
    <format dxfId="1061">
      <pivotArea dataOnly="0" labelOnly="1" fieldPosition="0">
        <references count="2">
          <reference field="0" count="1" selected="0">
            <x v="12"/>
          </reference>
          <reference field="1" count="1">
            <x v="123"/>
          </reference>
        </references>
      </pivotArea>
    </format>
    <format dxfId="1060">
      <pivotArea dataOnly="0" labelOnly="1" fieldPosition="0">
        <references count="2">
          <reference field="0" count="1" selected="0">
            <x v="16"/>
          </reference>
          <reference field="1" count="1">
            <x v="64"/>
          </reference>
        </references>
      </pivotArea>
    </format>
    <format dxfId="1059">
      <pivotArea dataOnly="0" labelOnly="1" fieldPosition="0">
        <references count="2">
          <reference field="0" count="1" selected="0">
            <x v="18"/>
          </reference>
          <reference field="1" count="1">
            <x v="66"/>
          </reference>
        </references>
      </pivotArea>
    </format>
    <format dxfId="1058">
      <pivotArea dataOnly="0" labelOnly="1" fieldPosition="0">
        <references count="2">
          <reference field="0" count="1" selected="0">
            <x v="22"/>
          </reference>
          <reference field="1" count="1">
            <x v="19"/>
          </reference>
        </references>
      </pivotArea>
    </format>
    <format dxfId="1057">
      <pivotArea dataOnly="0" labelOnly="1" fieldPosition="0">
        <references count="2">
          <reference field="0" count="1" selected="0">
            <x v="25"/>
          </reference>
          <reference field="1" count="1">
            <x v="22"/>
          </reference>
        </references>
      </pivotArea>
    </format>
    <format dxfId="1056">
      <pivotArea dataOnly="0" labelOnly="1" fieldPosition="0">
        <references count="2">
          <reference field="0" count="1" selected="0">
            <x v="26"/>
          </reference>
          <reference field="1" count="1">
            <x v="23"/>
          </reference>
        </references>
      </pivotArea>
    </format>
    <format dxfId="1055">
      <pivotArea dataOnly="0" labelOnly="1" fieldPosition="0">
        <references count="2">
          <reference field="0" count="1" selected="0">
            <x v="28"/>
          </reference>
          <reference field="1" count="1">
            <x v="25"/>
          </reference>
        </references>
      </pivotArea>
    </format>
    <format dxfId="1054">
      <pivotArea dataOnly="0" labelOnly="1" fieldPosition="0">
        <references count="2">
          <reference field="0" count="1" selected="0">
            <x v="29"/>
          </reference>
          <reference field="1" count="1">
            <x v="26"/>
          </reference>
        </references>
      </pivotArea>
    </format>
    <format dxfId="1053">
      <pivotArea dataOnly="0" labelOnly="1" fieldPosition="0">
        <references count="2">
          <reference field="0" count="1" selected="0">
            <x v="30"/>
          </reference>
          <reference field="1" count="1">
            <x v="27"/>
          </reference>
        </references>
      </pivotArea>
    </format>
    <format dxfId="1052">
      <pivotArea dataOnly="0" labelOnly="1" fieldPosition="0">
        <references count="2">
          <reference field="0" count="1" selected="0">
            <x v="31"/>
          </reference>
          <reference field="1" count="1">
            <x v="28"/>
          </reference>
        </references>
      </pivotArea>
    </format>
    <format dxfId="1051">
      <pivotArea dataOnly="0" labelOnly="1" fieldPosition="0">
        <references count="2">
          <reference field="0" count="1" selected="0">
            <x v="35"/>
          </reference>
          <reference field="1" count="1">
            <x v="32"/>
          </reference>
        </references>
      </pivotArea>
    </format>
    <format dxfId="1050">
      <pivotArea dataOnly="0" labelOnly="1" fieldPosition="0">
        <references count="2">
          <reference field="0" count="1" selected="0">
            <x v="36"/>
          </reference>
          <reference field="1" count="1">
            <x v="33"/>
          </reference>
        </references>
      </pivotArea>
    </format>
    <format dxfId="1049">
      <pivotArea dataOnly="0" labelOnly="1" fieldPosition="0">
        <references count="2">
          <reference field="0" count="1" selected="0">
            <x v="37"/>
          </reference>
          <reference field="1" count="1">
            <x v="34"/>
          </reference>
        </references>
      </pivotArea>
    </format>
    <format dxfId="1048">
      <pivotArea dataOnly="0" labelOnly="1" fieldPosition="0">
        <references count="2">
          <reference field="0" count="1" selected="0">
            <x v="38"/>
          </reference>
          <reference field="1" count="1">
            <x v="0"/>
          </reference>
        </references>
      </pivotArea>
    </format>
    <format dxfId="1047">
      <pivotArea dataOnly="0" labelOnly="1" fieldPosition="0">
        <references count="2">
          <reference field="0" count="1" selected="0">
            <x v="39"/>
          </reference>
          <reference field="1" count="1">
            <x v="1"/>
          </reference>
        </references>
      </pivotArea>
    </format>
    <format dxfId="1046">
      <pivotArea dataOnly="0" labelOnly="1" fieldPosition="0">
        <references count="2">
          <reference field="0" count="1" selected="0">
            <x v="40"/>
          </reference>
          <reference field="1" count="1">
            <x v="2"/>
          </reference>
        </references>
      </pivotArea>
    </format>
    <format dxfId="1045">
      <pivotArea dataOnly="0" labelOnly="1" fieldPosition="0">
        <references count="2">
          <reference field="0" count="1" selected="0">
            <x v="41"/>
          </reference>
          <reference field="1" count="1">
            <x v="3"/>
          </reference>
        </references>
      </pivotArea>
    </format>
    <format dxfId="1044">
      <pivotArea dataOnly="0" labelOnly="1" fieldPosition="0">
        <references count="2">
          <reference field="0" count="1" selected="0">
            <x v="42"/>
          </reference>
          <reference field="1" count="1">
            <x v="4"/>
          </reference>
        </references>
      </pivotArea>
    </format>
    <format dxfId="1043">
      <pivotArea dataOnly="0" labelOnly="1" fieldPosition="0">
        <references count="2">
          <reference field="0" count="1" selected="0">
            <x v="43"/>
          </reference>
          <reference field="1" count="1">
            <x v="5"/>
          </reference>
        </references>
      </pivotArea>
    </format>
    <format dxfId="1042">
      <pivotArea dataOnly="0" labelOnly="1" fieldPosition="0">
        <references count="2">
          <reference field="0" count="1" selected="0">
            <x v="44"/>
          </reference>
          <reference field="1" count="1">
            <x v="6"/>
          </reference>
        </references>
      </pivotArea>
    </format>
    <format dxfId="1041">
      <pivotArea dataOnly="0" labelOnly="1" fieldPosition="0">
        <references count="2">
          <reference field="0" count="1" selected="0">
            <x v="45"/>
          </reference>
          <reference field="1" count="1">
            <x v="7"/>
          </reference>
        </references>
      </pivotArea>
    </format>
    <format dxfId="1040">
      <pivotArea dataOnly="0" labelOnly="1" fieldPosition="0">
        <references count="2">
          <reference field="0" count="1" selected="0">
            <x v="46"/>
          </reference>
          <reference field="1" count="1">
            <x v="8"/>
          </reference>
        </references>
      </pivotArea>
    </format>
    <format dxfId="1039">
      <pivotArea dataOnly="0" labelOnly="1" fieldPosition="0">
        <references count="2">
          <reference field="0" count="1" selected="0">
            <x v="47"/>
          </reference>
          <reference field="1" count="1">
            <x v="9"/>
          </reference>
        </references>
      </pivotArea>
    </format>
    <format dxfId="1038">
      <pivotArea dataOnly="0" labelOnly="1" fieldPosition="0">
        <references count="2">
          <reference field="0" count="1" selected="0">
            <x v="49"/>
          </reference>
          <reference field="1" count="1">
            <x v="11"/>
          </reference>
        </references>
      </pivotArea>
    </format>
    <format dxfId="1037">
      <pivotArea dataOnly="0" labelOnly="1" fieldPosition="0">
        <references count="2">
          <reference field="0" count="1" selected="0">
            <x v="55"/>
          </reference>
          <reference field="1" count="1">
            <x v="35"/>
          </reference>
        </references>
      </pivotArea>
    </format>
    <format dxfId="1036">
      <pivotArea dataOnly="0" labelOnly="1" fieldPosition="0">
        <references count="2">
          <reference field="0" count="1" selected="0">
            <x v="56"/>
          </reference>
          <reference field="1" count="1">
            <x v="36"/>
          </reference>
        </references>
      </pivotArea>
    </format>
    <format dxfId="1035">
      <pivotArea dataOnly="0" labelOnly="1" fieldPosition="0">
        <references count="2">
          <reference field="0" count="1" selected="0">
            <x v="62"/>
          </reference>
          <reference field="1" count="1">
            <x v="42"/>
          </reference>
        </references>
      </pivotArea>
    </format>
    <format dxfId="1034">
      <pivotArea dataOnly="0" labelOnly="1" fieldPosition="0">
        <references count="2">
          <reference field="0" count="1" selected="0">
            <x v="63"/>
          </reference>
          <reference field="1" count="1">
            <x v="43"/>
          </reference>
        </references>
      </pivotArea>
    </format>
    <format dxfId="1033">
      <pivotArea dataOnly="0" labelOnly="1" fieldPosition="0">
        <references count="2">
          <reference field="0" count="1" selected="0">
            <x v="64"/>
          </reference>
          <reference field="1" count="1">
            <x v="44"/>
          </reference>
        </references>
      </pivotArea>
    </format>
    <format dxfId="1032">
      <pivotArea dataOnly="0" labelOnly="1" fieldPosition="0">
        <references count="2">
          <reference field="0" count="1" selected="0">
            <x v="65"/>
          </reference>
          <reference field="1" count="1">
            <x v="45"/>
          </reference>
        </references>
      </pivotArea>
    </format>
    <format dxfId="1031">
      <pivotArea dataOnly="0" labelOnly="1" fieldPosition="0">
        <references count="2">
          <reference field="0" count="1" selected="0">
            <x v="66"/>
          </reference>
          <reference field="1" count="1">
            <x v="46"/>
          </reference>
        </references>
      </pivotArea>
    </format>
    <format dxfId="1030">
      <pivotArea dataOnly="0" labelOnly="1" fieldPosition="0">
        <references count="2">
          <reference field="0" count="1" selected="0">
            <x v="67"/>
          </reference>
          <reference field="1" count="1">
            <x v="47"/>
          </reference>
        </references>
      </pivotArea>
    </format>
    <format dxfId="1029">
      <pivotArea dataOnly="0" labelOnly="1" fieldPosition="0">
        <references count="2">
          <reference field="0" count="1" selected="0">
            <x v="68"/>
          </reference>
          <reference field="1" count="1">
            <x v="48"/>
          </reference>
        </references>
      </pivotArea>
    </format>
    <format dxfId="1028">
      <pivotArea dataOnly="0" labelOnly="1" fieldPosition="0">
        <references count="2">
          <reference field="0" count="1" selected="0">
            <x v="79"/>
          </reference>
          <reference field="1" count="1">
            <x v="59"/>
          </reference>
        </references>
      </pivotArea>
    </format>
    <format dxfId="1027">
      <pivotArea dataOnly="0" labelOnly="1" fieldPosition="0">
        <references count="2">
          <reference field="0" count="1" selected="0">
            <x v="81"/>
          </reference>
          <reference field="1" count="1">
            <x v="68"/>
          </reference>
        </references>
      </pivotArea>
    </format>
    <format dxfId="1026">
      <pivotArea dataOnly="0" labelOnly="1" fieldPosition="0">
        <references count="2">
          <reference field="0" count="1" selected="0">
            <x v="82"/>
          </reference>
          <reference field="1" count="1">
            <x v="69"/>
          </reference>
        </references>
      </pivotArea>
    </format>
    <format dxfId="1025">
      <pivotArea dataOnly="0" labelOnly="1" fieldPosition="0">
        <references count="2">
          <reference field="0" count="1" selected="0">
            <x v="83"/>
          </reference>
          <reference field="1" count="1">
            <x v="70"/>
          </reference>
        </references>
      </pivotArea>
    </format>
    <format dxfId="1024">
      <pivotArea dataOnly="0" labelOnly="1" fieldPosition="0">
        <references count="2">
          <reference field="0" count="1" selected="0">
            <x v="84"/>
          </reference>
          <reference field="1" count="1">
            <x v="71"/>
          </reference>
        </references>
      </pivotArea>
    </format>
    <format dxfId="1023">
      <pivotArea dataOnly="0" labelOnly="1" fieldPosition="0">
        <references count="2">
          <reference field="0" count="1" selected="0">
            <x v="85"/>
          </reference>
          <reference field="1" count="1">
            <x v="72"/>
          </reference>
        </references>
      </pivotArea>
    </format>
    <format dxfId="1022">
      <pivotArea dataOnly="0" labelOnly="1" fieldPosition="0">
        <references count="2">
          <reference field="0" count="1" selected="0">
            <x v="86"/>
          </reference>
          <reference field="1" count="1">
            <x v="73"/>
          </reference>
        </references>
      </pivotArea>
    </format>
    <format dxfId="1021">
      <pivotArea dataOnly="0" labelOnly="1" fieldPosition="0">
        <references count="2">
          <reference field="0" count="1" selected="0">
            <x v="87"/>
          </reference>
          <reference field="1" count="1">
            <x v="74"/>
          </reference>
        </references>
      </pivotArea>
    </format>
    <format dxfId="1020">
      <pivotArea dataOnly="0" labelOnly="1" fieldPosition="0">
        <references count="2">
          <reference field="0" count="1" selected="0">
            <x v="88"/>
          </reference>
          <reference field="1" count="1">
            <x v="75"/>
          </reference>
        </references>
      </pivotArea>
    </format>
    <format dxfId="1019">
      <pivotArea dataOnly="0" labelOnly="1" fieldPosition="0">
        <references count="2">
          <reference field="0" count="1" selected="0">
            <x v="89"/>
          </reference>
          <reference field="1" count="1">
            <x v="76"/>
          </reference>
        </references>
      </pivotArea>
    </format>
    <format dxfId="1018">
      <pivotArea dataOnly="0" labelOnly="1" fieldPosition="0">
        <references count="2">
          <reference field="0" count="1" selected="0">
            <x v="90"/>
          </reference>
          <reference field="1" count="1">
            <x v="77"/>
          </reference>
        </references>
      </pivotArea>
    </format>
    <format dxfId="1017">
      <pivotArea dataOnly="0" labelOnly="1" fieldPosition="0">
        <references count="2">
          <reference field="0" count="1" selected="0">
            <x v="91"/>
          </reference>
          <reference field="1" count="1">
            <x v="78"/>
          </reference>
        </references>
      </pivotArea>
    </format>
    <format dxfId="1016">
      <pivotArea dataOnly="0" labelOnly="1" fieldPosition="0">
        <references count="2">
          <reference field="0" count="1" selected="0">
            <x v="93"/>
          </reference>
          <reference field="1" count="1">
            <x v="80"/>
          </reference>
        </references>
      </pivotArea>
    </format>
    <format dxfId="1015">
      <pivotArea dataOnly="0" labelOnly="1" fieldPosition="0">
        <references count="2">
          <reference field="0" count="1" selected="0">
            <x v="94"/>
          </reference>
          <reference field="1" count="1">
            <x v="81"/>
          </reference>
        </references>
      </pivotArea>
    </format>
    <format dxfId="1014">
      <pivotArea dataOnly="0" labelOnly="1" fieldPosition="0">
        <references count="2">
          <reference field="0" count="1" selected="0">
            <x v="95"/>
          </reference>
          <reference field="1" count="1">
            <x v="82"/>
          </reference>
        </references>
      </pivotArea>
    </format>
    <format dxfId="1013">
      <pivotArea dataOnly="0" labelOnly="1" fieldPosition="0">
        <references count="2">
          <reference field="0" count="1" selected="0">
            <x v="96"/>
          </reference>
          <reference field="1" count="1">
            <x v="83"/>
          </reference>
        </references>
      </pivotArea>
    </format>
    <format dxfId="1012">
      <pivotArea dataOnly="0" labelOnly="1" fieldPosition="0">
        <references count="2">
          <reference field="0" count="1" selected="0">
            <x v="97"/>
          </reference>
          <reference field="1" count="1">
            <x v="84"/>
          </reference>
        </references>
      </pivotArea>
    </format>
    <format dxfId="1011">
      <pivotArea dataOnly="0" labelOnly="1" fieldPosition="0">
        <references count="2">
          <reference field="0" count="1" selected="0">
            <x v="98"/>
          </reference>
          <reference field="1" count="1">
            <x v="85"/>
          </reference>
        </references>
      </pivotArea>
    </format>
    <format dxfId="1010">
      <pivotArea dataOnly="0" labelOnly="1" fieldPosition="0">
        <references count="2">
          <reference field="0" count="1" selected="0">
            <x v="99"/>
          </reference>
          <reference field="1" count="1">
            <x v="86"/>
          </reference>
        </references>
      </pivotArea>
    </format>
    <format dxfId="1009">
      <pivotArea dataOnly="0" labelOnly="1" fieldPosition="0">
        <references count="2">
          <reference field="0" count="1" selected="0">
            <x v="100"/>
          </reference>
          <reference field="1" count="1">
            <x v="87"/>
          </reference>
        </references>
      </pivotArea>
    </format>
    <format dxfId="1008">
      <pivotArea dataOnly="0" labelOnly="1" fieldPosition="0">
        <references count="2">
          <reference field="0" count="1" selected="0">
            <x v="101"/>
          </reference>
          <reference field="1" count="1">
            <x v="88"/>
          </reference>
        </references>
      </pivotArea>
    </format>
    <format dxfId="1007">
      <pivotArea dataOnly="0" labelOnly="1" fieldPosition="0">
        <references count="2">
          <reference field="0" count="1" selected="0">
            <x v="102"/>
          </reference>
          <reference field="1" count="1">
            <x v="89"/>
          </reference>
        </references>
      </pivotArea>
    </format>
    <format dxfId="1006">
      <pivotArea dataOnly="0" labelOnly="1" fieldPosition="0">
        <references count="2">
          <reference field="0" count="1" selected="0">
            <x v="103"/>
          </reference>
          <reference field="1" count="1">
            <x v="90"/>
          </reference>
        </references>
      </pivotArea>
    </format>
    <format dxfId="1005">
      <pivotArea dataOnly="0" labelOnly="1" fieldPosition="0">
        <references count="2">
          <reference field="0" count="1" selected="0">
            <x v="104"/>
          </reference>
          <reference field="1" count="1">
            <x v="91"/>
          </reference>
        </references>
      </pivotArea>
    </format>
    <format dxfId="1004">
      <pivotArea dataOnly="0" labelOnly="1" fieldPosition="0">
        <references count="2">
          <reference field="0" count="1" selected="0">
            <x v="105"/>
          </reference>
          <reference field="1" count="1">
            <x v="92"/>
          </reference>
        </references>
      </pivotArea>
    </format>
    <format dxfId="1003">
      <pivotArea dataOnly="0" labelOnly="1" fieldPosition="0">
        <references count="2">
          <reference field="0" count="1" selected="0">
            <x v="106"/>
          </reference>
          <reference field="1" count="1">
            <x v="93"/>
          </reference>
        </references>
      </pivotArea>
    </format>
    <format dxfId="1002">
      <pivotArea dataOnly="0" labelOnly="1" fieldPosition="0">
        <references count="2">
          <reference field="0" count="1" selected="0">
            <x v="107"/>
          </reference>
          <reference field="1" count="1">
            <x v="94"/>
          </reference>
        </references>
      </pivotArea>
    </format>
    <format dxfId="1001">
      <pivotArea dataOnly="0" labelOnly="1" fieldPosition="0">
        <references count="2">
          <reference field="0" count="1" selected="0">
            <x v="108"/>
          </reference>
          <reference field="1" count="1">
            <x v="95"/>
          </reference>
        </references>
      </pivotArea>
    </format>
    <format dxfId="1000">
      <pivotArea dataOnly="0" labelOnly="1" fieldPosition="0">
        <references count="2">
          <reference field="0" count="1" selected="0">
            <x v="110"/>
          </reference>
          <reference field="1" count="1">
            <x v="97"/>
          </reference>
        </references>
      </pivotArea>
    </format>
    <format dxfId="999">
      <pivotArea dataOnly="0" labelOnly="1" fieldPosition="0">
        <references count="2">
          <reference field="0" count="1" selected="0">
            <x v="111"/>
          </reference>
          <reference field="1" count="1">
            <x v="98"/>
          </reference>
        </references>
      </pivotArea>
    </format>
    <format dxfId="998">
      <pivotArea dataOnly="0" labelOnly="1" fieldPosition="0">
        <references count="2">
          <reference field="0" count="1" selected="0">
            <x v="113"/>
          </reference>
          <reference field="1" count="1">
            <x v="100"/>
          </reference>
        </references>
      </pivotArea>
    </format>
    <format dxfId="997">
      <pivotArea dataOnly="0" labelOnly="1" fieldPosition="0">
        <references count="2">
          <reference field="0" count="1" selected="0">
            <x v="119"/>
          </reference>
          <reference field="1" count="1">
            <x v="106"/>
          </reference>
        </references>
      </pivotArea>
    </format>
    <format dxfId="996">
      <pivotArea dataOnly="0" labelOnly="1" fieldPosition="0">
        <references count="2">
          <reference field="0" count="1" selected="0">
            <x v="120"/>
          </reference>
          <reference field="1" count="1">
            <x v="107"/>
          </reference>
        </references>
      </pivotArea>
    </format>
    <format dxfId="995">
      <pivotArea dataOnly="0" labelOnly="1" fieldPosition="0">
        <references count="2">
          <reference field="0" count="1" selected="0">
            <x v="121"/>
          </reference>
          <reference field="1" count="1">
            <x v="108"/>
          </reference>
        </references>
      </pivotArea>
    </format>
    <format dxfId="994">
      <pivotArea dataOnly="0" labelOnly="1" fieldPosition="0">
        <references count="2">
          <reference field="0" count="1" selected="0">
            <x v="122"/>
          </reference>
          <reference field="1" count="1">
            <x v="109"/>
          </reference>
        </references>
      </pivotArea>
    </format>
    <format dxfId="993">
      <pivotArea dataOnly="0" labelOnly="1" fieldPosition="0">
        <references count="2">
          <reference field="0" count="1" selected="0">
            <x v="123"/>
          </reference>
          <reference field="1" count="1">
            <x v="110"/>
          </reference>
        </references>
      </pivotArea>
    </format>
    <format dxfId="992">
      <pivotArea dataOnly="0" labelOnly="1" fieldPosition="0">
        <references count="2">
          <reference field="0" count="1" selected="0">
            <x v="124"/>
          </reference>
          <reference field="1" count="1">
            <x v="111"/>
          </reference>
        </references>
      </pivotArea>
    </format>
    <format dxfId="991">
      <pivotArea dataOnly="0" labelOnly="1" fieldPosition="0">
        <references count="2">
          <reference field="0" count="1" selected="0">
            <x v="125"/>
          </reference>
          <reference field="1" count="1">
            <x v="112"/>
          </reference>
        </references>
      </pivotArea>
    </format>
    <format dxfId="990">
      <pivotArea dataOnly="0" labelOnly="1" fieldPosition="0">
        <references count="2">
          <reference field="0" count="1" selected="0">
            <x v="126"/>
          </reference>
          <reference field="1" count="1">
            <x v="113"/>
          </reference>
        </references>
      </pivotArea>
    </format>
    <format dxfId="989">
      <pivotArea dataOnly="0" labelOnly="1" fieldPosition="0">
        <references count="2">
          <reference field="0" count="1" selected="0">
            <x v="127"/>
          </reference>
          <reference field="1" count="1">
            <x v="114"/>
          </reference>
        </references>
      </pivotArea>
    </format>
    <format dxfId="988">
      <pivotArea dataOnly="0" labelOnly="1" fieldPosition="0">
        <references count="2">
          <reference field="0" count="1" selected="0">
            <x v="128"/>
          </reference>
          <reference field="1" count="1">
            <x v="115"/>
          </reference>
        </references>
      </pivotArea>
    </format>
    <format dxfId="987">
      <pivotArea dataOnly="0" labelOnly="1" fieldPosition="0">
        <references count="2">
          <reference field="0" count="1" selected="0">
            <x v="129"/>
          </reference>
          <reference field="1" count="1">
            <x v="116"/>
          </reference>
        </references>
      </pivotArea>
    </format>
    <format dxfId="986">
      <pivotArea dataOnly="0" labelOnly="1" fieldPosition="0">
        <references count="2">
          <reference field="0" count="1" selected="0">
            <x v="130"/>
          </reference>
          <reference field="1" count="1">
            <x v="117"/>
          </reference>
        </references>
      </pivotArea>
    </format>
    <format dxfId="985">
      <pivotArea dataOnly="0" labelOnly="1" fieldPosition="0">
        <references count="2">
          <reference field="0" count="1" selected="0">
            <x v="134"/>
          </reference>
          <reference field="1" count="1">
            <x v="127"/>
          </reference>
        </references>
      </pivotArea>
    </format>
    <format dxfId="984">
      <pivotArea dataOnly="0" labelOnly="1" fieldPosition="0">
        <references count="2">
          <reference field="0" count="1" selected="0">
            <x v="135"/>
          </reference>
          <reference field="1" count="1">
            <x v="128"/>
          </reference>
        </references>
      </pivotArea>
    </format>
    <format dxfId="983">
      <pivotArea dataOnly="0" labelOnly="1" fieldPosition="0">
        <references count="2">
          <reference field="0" count="1" selected="0">
            <x v="136"/>
          </reference>
          <reference field="1" count="1">
            <x v="129"/>
          </reference>
        </references>
      </pivotArea>
    </format>
    <format dxfId="982">
      <pivotArea dataOnly="0" labelOnly="1" fieldPosition="0">
        <references count="2">
          <reference field="0" count="1" selected="0">
            <x v="144"/>
          </reference>
          <reference field="1" count="1">
            <x v="137"/>
          </reference>
        </references>
      </pivotArea>
    </format>
    <format dxfId="981">
      <pivotArea dataOnly="0" labelOnly="1" fieldPosition="0">
        <references count="2">
          <reference field="0" count="1" selected="0">
            <x v="146"/>
          </reference>
          <reference field="1" count="1">
            <x v="139"/>
          </reference>
        </references>
      </pivotArea>
    </format>
    <format dxfId="980">
      <pivotArea dataOnly="0" labelOnly="1" fieldPosition="0">
        <references count="2">
          <reference field="0" count="1" selected="0">
            <x v="147"/>
          </reference>
          <reference field="1" count="1">
            <x v="140"/>
          </reference>
        </references>
      </pivotArea>
    </format>
    <format dxfId="979">
      <pivotArea dataOnly="0" labelOnly="1" fieldPosition="0">
        <references count="2">
          <reference field="0" count="1" selected="0">
            <x v="148"/>
          </reference>
          <reference field="1" count="1">
            <x v="141"/>
          </reference>
        </references>
      </pivotArea>
    </format>
    <format dxfId="978">
      <pivotArea dataOnly="0" labelOnly="1" fieldPosition="0">
        <references count="2">
          <reference field="0" count="1" selected="0">
            <x v="149"/>
          </reference>
          <reference field="1" count="1">
            <x v="142"/>
          </reference>
        </references>
      </pivotArea>
    </format>
    <format dxfId="977">
      <pivotArea dataOnly="0" labelOnly="1" fieldPosition="0">
        <references count="2">
          <reference field="0" count="1" selected="0">
            <x v="150"/>
          </reference>
          <reference field="1" count="1">
            <x v="143"/>
          </reference>
        </references>
      </pivotArea>
    </format>
    <format dxfId="976">
      <pivotArea dataOnly="0" labelOnly="1" fieldPosition="0">
        <references count="2">
          <reference field="0" count="1" selected="0">
            <x v="151"/>
          </reference>
          <reference field="1" count="1">
            <x v="144"/>
          </reference>
        </references>
      </pivotArea>
    </format>
    <format dxfId="975">
      <pivotArea dataOnly="0" labelOnly="1" fieldPosition="0">
        <references count="2">
          <reference field="0" count="1" selected="0">
            <x v="152"/>
          </reference>
          <reference field="1" count="1">
            <x v="145"/>
          </reference>
        </references>
      </pivotArea>
    </format>
    <format dxfId="974">
      <pivotArea dataOnly="0" labelOnly="1" fieldPosition="0">
        <references count="2">
          <reference field="0" count="1" selected="0">
            <x v="153"/>
          </reference>
          <reference field="1" count="1">
            <x v="146"/>
          </reference>
        </references>
      </pivotArea>
    </format>
    <format dxfId="973">
      <pivotArea dataOnly="0" labelOnly="1" fieldPosition="0">
        <references count="2">
          <reference field="0" count="1" selected="0">
            <x v="154"/>
          </reference>
          <reference field="1" count="1">
            <x v="147"/>
          </reference>
        </references>
      </pivotArea>
    </format>
    <format dxfId="972">
      <pivotArea dataOnly="0" labelOnly="1" fieldPosition="0">
        <references count="2">
          <reference field="0" count="1" selected="0">
            <x v="155"/>
          </reference>
          <reference field="1" count="1">
            <x v="148"/>
          </reference>
        </references>
      </pivotArea>
    </format>
    <format dxfId="971">
      <pivotArea dataOnly="0" labelOnly="1" fieldPosition="0">
        <references count="2">
          <reference field="0" count="1" selected="0">
            <x v="159"/>
          </reference>
          <reference field="1" count="1">
            <x v="183"/>
          </reference>
        </references>
      </pivotArea>
    </format>
    <format dxfId="970">
      <pivotArea dataOnly="0" labelOnly="1" fieldPosition="0">
        <references count="2">
          <reference field="0" count="1" selected="0">
            <x v="160"/>
          </reference>
          <reference field="1" count="1">
            <x v="184"/>
          </reference>
        </references>
      </pivotArea>
    </format>
    <format dxfId="969">
      <pivotArea dataOnly="0" labelOnly="1" fieldPosition="0">
        <references count="2">
          <reference field="0" count="1" selected="0">
            <x v="161"/>
          </reference>
          <reference field="1" count="1">
            <x v="185"/>
          </reference>
        </references>
      </pivotArea>
    </format>
    <format dxfId="968">
      <pivotArea dataOnly="0" labelOnly="1" fieldPosition="0">
        <references count="2">
          <reference field="0" count="1" selected="0">
            <x v="162"/>
          </reference>
          <reference field="1" count="1">
            <x v="186"/>
          </reference>
        </references>
      </pivotArea>
    </format>
    <format dxfId="967">
      <pivotArea dataOnly="0" labelOnly="1" fieldPosition="0">
        <references count="2">
          <reference field="0" count="1" selected="0">
            <x v="164"/>
          </reference>
          <reference field="1" count="1">
            <x v="188"/>
          </reference>
        </references>
      </pivotArea>
    </format>
    <format dxfId="966">
      <pivotArea dataOnly="0" labelOnly="1" fieldPosition="0">
        <references count="2">
          <reference field="0" count="1" selected="0">
            <x v="165"/>
          </reference>
          <reference field="1" count="1">
            <x v="189"/>
          </reference>
        </references>
      </pivotArea>
    </format>
    <format dxfId="965">
      <pivotArea dataOnly="0" labelOnly="1" fieldPosition="0">
        <references count="2">
          <reference field="0" count="1" selected="0">
            <x v="166"/>
          </reference>
          <reference field="1" count="1">
            <x v="190"/>
          </reference>
        </references>
      </pivotArea>
    </format>
    <format dxfId="964">
      <pivotArea dataOnly="0" labelOnly="1" fieldPosition="0">
        <references count="2">
          <reference field="0" count="1" selected="0">
            <x v="167"/>
          </reference>
          <reference field="1" count="1">
            <x v="199"/>
          </reference>
        </references>
      </pivotArea>
    </format>
    <format dxfId="963">
      <pivotArea dataOnly="0" labelOnly="1" fieldPosition="0">
        <references count="2">
          <reference field="0" count="1" selected="0">
            <x v="168"/>
          </reference>
          <reference field="1" count="1">
            <x v="200"/>
          </reference>
        </references>
      </pivotArea>
    </format>
    <format dxfId="962">
      <pivotArea dataOnly="0" labelOnly="1" fieldPosition="0">
        <references count="2">
          <reference field="0" count="1" selected="0">
            <x v="171"/>
          </reference>
          <reference field="1" count="1">
            <x v="203"/>
          </reference>
        </references>
      </pivotArea>
    </format>
    <format dxfId="961">
      <pivotArea dataOnly="0" labelOnly="1" fieldPosition="0">
        <references count="2">
          <reference field="0" count="1" selected="0">
            <x v="172"/>
          </reference>
          <reference field="1" count="1">
            <x v="204"/>
          </reference>
        </references>
      </pivotArea>
    </format>
    <format dxfId="960">
      <pivotArea dataOnly="0" labelOnly="1" fieldPosition="0">
        <references count="2">
          <reference field="0" count="1" selected="0">
            <x v="173"/>
          </reference>
          <reference field="1" count="1">
            <x v="205"/>
          </reference>
        </references>
      </pivotArea>
    </format>
    <format dxfId="959">
      <pivotArea dataOnly="0" labelOnly="1" fieldPosition="0">
        <references count="2">
          <reference field="0" count="1" selected="0">
            <x v="175"/>
          </reference>
          <reference field="1" count="1">
            <x v="207"/>
          </reference>
        </references>
      </pivotArea>
    </format>
    <format dxfId="958">
      <pivotArea dataOnly="0" labelOnly="1" fieldPosition="0">
        <references count="2">
          <reference field="0" count="1" selected="0">
            <x v="176"/>
          </reference>
          <reference field="1" count="1">
            <x v="208"/>
          </reference>
        </references>
      </pivotArea>
    </format>
    <format dxfId="957">
      <pivotArea dataOnly="0" labelOnly="1" fieldPosition="0">
        <references count="2">
          <reference field="0" count="1" selected="0">
            <x v="177"/>
          </reference>
          <reference field="1" count="1">
            <x v="209"/>
          </reference>
        </references>
      </pivotArea>
    </format>
    <format dxfId="956">
      <pivotArea dataOnly="0" labelOnly="1" fieldPosition="0">
        <references count="2">
          <reference field="0" count="1" selected="0">
            <x v="178"/>
          </reference>
          <reference field="1" count="1">
            <x v="210"/>
          </reference>
        </references>
      </pivotArea>
    </format>
    <format dxfId="955">
      <pivotArea dataOnly="0" labelOnly="1" fieldPosition="0">
        <references count="2">
          <reference field="0" count="1" selected="0">
            <x v="179"/>
          </reference>
          <reference field="1" count="1">
            <x v="211"/>
          </reference>
        </references>
      </pivotArea>
    </format>
    <format dxfId="954">
      <pivotArea dataOnly="0" labelOnly="1" fieldPosition="0">
        <references count="2">
          <reference field="0" count="1" selected="0">
            <x v="180"/>
          </reference>
          <reference field="1" count="1">
            <x v="212"/>
          </reference>
        </references>
      </pivotArea>
    </format>
    <format dxfId="953">
      <pivotArea dataOnly="0" labelOnly="1" fieldPosition="0">
        <references count="2">
          <reference field="0" count="1" selected="0">
            <x v="181"/>
          </reference>
          <reference field="1" count="1">
            <x v="213"/>
          </reference>
        </references>
      </pivotArea>
    </format>
    <format dxfId="952">
      <pivotArea dataOnly="0" labelOnly="1" fieldPosition="0">
        <references count="2">
          <reference field="0" count="1" selected="0">
            <x v="182"/>
          </reference>
          <reference field="1" count="1">
            <x v="214"/>
          </reference>
        </references>
      </pivotArea>
    </format>
    <format dxfId="951">
      <pivotArea dataOnly="0" labelOnly="1" fieldPosition="0">
        <references count="2">
          <reference field="0" count="1" selected="0">
            <x v="183"/>
          </reference>
          <reference field="1" count="1">
            <x v="215"/>
          </reference>
        </references>
      </pivotArea>
    </format>
    <format dxfId="950">
      <pivotArea dataOnly="0" labelOnly="1" fieldPosition="0">
        <references count="2">
          <reference field="0" count="1" selected="0">
            <x v="184"/>
          </reference>
          <reference field="1" count="1">
            <x v="216"/>
          </reference>
        </references>
      </pivotArea>
    </format>
    <format dxfId="949">
      <pivotArea dataOnly="0" labelOnly="1" fieldPosition="0">
        <references count="2">
          <reference field="0" count="1" selected="0">
            <x v="185"/>
          </reference>
          <reference field="1" count="1">
            <x v="217"/>
          </reference>
        </references>
      </pivotArea>
    </format>
    <format dxfId="948">
      <pivotArea dataOnly="0" labelOnly="1" fieldPosition="0">
        <references count="2">
          <reference field="0" count="1" selected="0">
            <x v="186"/>
          </reference>
          <reference field="1" count="1">
            <x v="218"/>
          </reference>
        </references>
      </pivotArea>
    </format>
    <format dxfId="947">
      <pivotArea dataOnly="0" labelOnly="1" fieldPosition="0">
        <references count="2">
          <reference field="0" count="1" selected="0">
            <x v="187"/>
          </reference>
          <reference field="1" count="1">
            <x v="219"/>
          </reference>
        </references>
      </pivotArea>
    </format>
    <format dxfId="946">
      <pivotArea dataOnly="0" labelOnly="1" fieldPosition="0">
        <references count="2">
          <reference field="0" count="1" selected="0">
            <x v="188"/>
          </reference>
          <reference field="1" count="1">
            <x v="220"/>
          </reference>
        </references>
      </pivotArea>
    </format>
    <format dxfId="945">
      <pivotArea dataOnly="0" labelOnly="1" fieldPosition="0">
        <references count="2">
          <reference field="0" count="1" selected="0">
            <x v="189"/>
          </reference>
          <reference field="1" count="1">
            <x v="221"/>
          </reference>
        </references>
      </pivotArea>
    </format>
    <format dxfId="944">
      <pivotArea dataOnly="0" labelOnly="1" fieldPosition="0">
        <references count="2">
          <reference field="0" count="1" selected="0">
            <x v="192"/>
          </reference>
          <reference field="1" count="1">
            <x v="224"/>
          </reference>
        </references>
      </pivotArea>
    </format>
    <format dxfId="943">
      <pivotArea dataOnly="0" labelOnly="1" fieldPosition="0">
        <references count="2">
          <reference field="0" count="1" selected="0">
            <x v="193"/>
          </reference>
          <reference field="1" count="1">
            <x v="225"/>
          </reference>
        </references>
      </pivotArea>
    </format>
    <format dxfId="942">
      <pivotArea dataOnly="0" labelOnly="1" fieldPosition="0">
        <references count="2">
          <reference field="0" count="1" selected="0">
            <x v="197"/>
          </reference>
          <reference field="1" count="1">
            <x v="236"/>
          </reference>
        </references>
      </pivotArea>
    </format>
    <format dxfId="941">
      <pivotArea dataOnly="0" labelOnly="1" fieldPosition="0">
        <references count="2">
          <reference field="0" count="1" selected="0">
            <x v="199"/>
          </reference>
          <reference field="1" count="1">
            <x v="238"/>
          </reference>
        </references>
      </pivotArea>
    </format>
    <format dxfId="940">
      <pivotArea dataOnly="0" labelOnly="1" fieldPosition="0">
        <references count="2">
          <reference field="0" count="1" selected="0">
            <x v="200"/>
          </reference>
          <reference field="1" count="1">
            <x v="239"/>
          </reference>
        </references>
      </pivotArea>
    </format>
    <format dxfId="939">
      <pivotArea dataOnly="0" labelOnly="1" fieldPosition="0">
        <references count="2">
          <reference field="0" count="1" selected="0">
            <x v="201"/>
          </reference>
          <reference field="1" count="1">
            <x v="240"/>
          </reference>
        </references>
      </pivotArea>
    </format>
    <format dxfId="938">
      <pivotArea dataOnly="0" labelOnly="1" fieldPosition="0">
        <references count="2">
          <reference field="0" count="1" selected="0">
            <x v="204"/>
          </reference>
          <reference field="1" count="1">
            <x v="149"/>
          </reference>
        </references>
      </pivotArea>
    </format>
    <format dxfId="937">
      <pivotArea dataOnly="0" labelOnly="1" fieldPosition="0">
        <references count="2">
          <reference field="0" count="1" selected="0">
            <x v="206"/>
          </reference>
          <reference field="1" count="1">
            <x v="151"/>
          </reference>
        </references>
      </pivotArea>
    </format>
    <format dxfId="936">
      <pivotArea dataOnly="0" labelOnly="1" fieldPosition="0">
        <references count="2">
          <reference field="0" count="1" selected="0">
            <x v="207"/>
          </reference>
          <reference field="1" count="1">
            <x v="152"/>
          </reference>
        </references>
      </pivotArea>
    </format>
    <format dxfId="935">
      <pivotArea dataOnly="0" labelOnly="1" fieldPosition="0">
        <references count="2">
          <reference field="0" count="1" selected="0">
            <x v="208"/>
          </reference>
          <reference field="1" count="1">
            <x v="153"/>
          </reference>
        </references>
      </pivotArea>
    </format>
    <format dxfId="934">
      <pivotArea dataOnly="0" labelOnly="1" fieldPosition="0">
        <references count="2">
          <reference field="0" count="1" selected="0">
            <x v="209"/>
          </reference>
          <reference field="1" count="1">
            <x v="154"/>
          </reference>
        </references>
      </pivotArea>
    </format>
    <format dxfId="933">
      <pivotArea dataOnly="0" labelOnly="1" fieldPosition="0">
        <references count="2">
          <reference field="0" count="1" selected="0">
            <x v="210"/>
          </reference>
          <reference field="1" count="1">
            <x v="155"/>
          </reference>
        </references>
      </pivotArea>
    </format>
    <format dxfId="932">
      <pivotArea dataOnly="0" labelOnly="1" fieldPosition="0">
        <references count="2">
          <reference field="0" count="1" selected="0">
            <x v="211"/>
          </reference>
          <reference field="1" count="1">
            <x v="156"/>
          </reference>
        </references>
      </pivotArea>
    </format>
    <format dxfId="931">
      <pivotArea dataOnly="0" labelOnly="1" fieldPosition="0">
        <references count="2">
          <reference field="0" count="1" selected="0">
            <x v="212"/>
          </reference>
          <reference field="1" count="1">
            <x v="157"/>
          </reference>
        </references>
      </pivotArea>
    </format>
    <format dxfId="930">
      <pivotArea dataOnly="0" labelOnly="1" fieldPosition="0">
        <references count="2">
          <reference field="0" count="1" selected="0">
            <x v="214"/>
          </reference>
          <reference field="1" count="1">
            <x v="159"/>
          </reference>
        </references>
      </pivotArea>
    </format>
    <format dxfId="929">
      <pivotArea dataOnly="0" labelOnly="1" fieldPosition="0">
        <references count="2">
          <reference field="0" count="1" selected="0">
            <x v="215"/>
          </reference>
          <reference field="1" count="1">
            <x v="160"/>
          </reference>
        </references>
      </pivotArea>
    </format>
    <format dxfId="928">
      <pivotArea dataOnly="0" labelOnly="1" fieldPosition="0">
        <references count="2">
          <reference field="0" count="1" selected="0">
            <x v="216"/>
          </reference>
          <reference field="1" count="1">
            <x v="161"/>
          </reference>
        </references>
      </pivotArea>
    </format>
    <format dxfId="927">
      <pivotArea dataOnly="0" labelOnly="1" fieldPosition="0">
        <references count="2">
          <reference field="0" count="1" selected="0">
            <x v="217"/>
          </reference>
          <reference field="1" count="1">
            <x v="162"/>
          </reference>
        </references>
      </pivotArea>
    </format>
    <format dxfId="926">
      <pivotArea dataOnly="0" labelOnly="1" fieldPosition="0">
        <references count="2">
          <reference field="0" count="1" selected="0">
            <x v="218"/>
          </reference>
          <reference field="1" count="1">
            <x v="163"/>
          </reference>
        </references>
      </pivotArea>
    </format>
    <format dxfId="925">
      <pivotArea dataOnly="0" labelOnly="1" fieldPosition="0">
        <references count="2">
          <reference field="0" count="1" selected="0">
            <x v="219"/>
          </reference>
          <reference field="1" count="1">
            <x v="164"/>
          </reference>
        </references>
      </pivotArea>
    </format>
    <format dxfId="924">
      <pivotArea dataOnly="0" labelOnly="1" fieldPosition="0">
        <references count="2">
          <reference field="0" count="1" selected="0">
            <x v="220"/>
          </reference>
          <reference field="1" count="1">
            <x v="165"/>
          </reference>
        </references>
      </pivotArea>
    </format>
    <format dxfId="923">
      <pivotArea dataOnly="0" labelOnly="1" fieldPosition="0">
        <references count="2">
          <reference field="0" count="1" selected="0">
            <x v="221"/>
          </reference>
          <reference field="1" count="1">
            <x v="166"/>
          </reference>
        </references>
      </pivotArea>
    </format>
    <format dxfId="922">
      <pivotArea dataOnly="0" labelOnly="1" fieldPosition="0">
        <references count="2">
          <reference field="0" count="1" selected="0">
            <x v="223"/>
          </reference>
          <reference field="1" count="1">
            <x v="168"/>
          </reference>
        </references>
      </pivotArea>
    </format>
    <format dxfId="921">
      <pivotArea dataOnly="0" labelOnly="1" fieldPosition="0">
        <references count="2">
          <reference field="0" count="1" selected="0">
            <x v="224"/>
          </reference>
          <reference field="1" count="1">
            <x v="169"/>
          </reference>
        </references>
      </pivotArea>
    </format>
    <format dxfId="920">
      <pivotArea dataOnly="0" labelOnly="1" fieldPosition="0">
        <references count="2">
          <reference field="0" count="1" selected="0">
            <x v="225"/>
          </reference>
          <reference field="1" count="1">
            <x v="170"/>
          </reference>
        </references>
      </pivotArea>
    </format>
    <format dxfId="919">
      <pivotArea dataOnly="0" labelOnly="1" fieldPosition="0">
        <references count="2">
          <reference field="0" count="1" selected="0">
            <x v="226"/>
          </reference>
          <reference field="1" count="1">
            <x v="171"/>
          </reference>
        </references>
      </pivotArea>
    </format>
    <format dxfId="918">
      <pivotArea dataOnly="0" labelOnly="1" fieldPosition="0">
        <references count="2">
          <reference field="0" count="1" selected="0">
            <x v="227"/>
          </reference>
          <reference field="1" count="1">
            <x v="172"/>
          </reference>
        </references>
      </pivotArea>
    </format>
    <format dxfId="917">
      <pivotArea dataOnly="0" labelOnly="1" fieldPosition="0">
        <references count="2">
          <reference field="0" count="1" selected="0">
            <x v="228"/>
          </reference>
          <reference field="1" count="1">
            <x v="173"/>
          </reference>
        </references>
      </pivotArea>
    </format>
    <format dxfId="916">
      <pivotArea dataOnly="0" labelOnly="1" fieldPosition="0">
        <references count="2">
          <reference field="0" count="1" selected="0">
            <x v="229"/>
          </reference>
          <reference field="1" count="1">
            <x v="174"/>
          </reference>
        </references>
      </pivotArea>
    </format>
    <format dxfId="915">
      <pivotArea dataOnly="0" labelOnly="1" fieldPosition="0">
        <references count="2">
          <reference field="0" count="1" selected="0">
            <x v="230"/>
          </reference>
          <reference field="1" count="1">
            <x v="175"/>
          </reference>
        </references>
      </pivotArea>
    </format>
    <format dxfId="914">
      <pivotArea dataOnly="0" labelOnly="1" fieldPosition="0">
        <references count="2">
          <reference field="0" count="1" selected="0">
            <x v="231"/>
          </reference>
          <reference field="1" count="1">
            <x v="176"/>
          </reference>
        </references>
      </pivotArea>
    </format>
    <format dxfId="913">
      <pivotArea dataOnly="0" labelOnly="1" fieldPosition="0">
        <references count="2">
          <reference field="0" count="1" selected="0">
            <x v="232"/>
          </reference>
          <reference field="1" count="1">
            <x v="177"/>
          </reference>
        </references>
      </pivotArea>
    </format>
    <format dxfId="912">
      <pivotArea dataOnly="0" labelOnly="1" fieldPosition="0">
        <references count="2">
          <reference field="0" count="1" selected="0">
            <x v="233"/>
          </reference>
          <reference field="1" count="1">
            <x v="178"/>
          </reference>
        </references>
      </pivotArea>
    </format>
    <format dxfId="911">
      <pivotArea dataOnly="0" labelOnly="1" fieldPosition="0">
        <references count="2">
          <reference field="0" count="1" selected="0">
            <x v="234"/>
          </reference>
          <reference field="1" count="1">
            <x v="179"/>
          </reference>
        </references>
      </pivotArea>
    </format>
    <format dxfId="910">
      <pivotArea dataOnly="0" labelOnly="1" fieldPosition="0">
        <references count="2">
          <reference field="0" count="1" selected="0">
            <x v="235"/>
          </reference>
          <reference field="1" count="1">
            <x v="191"/>
          </reference>
        </references>
      </pivotArea>
    </format>
    <format dxfId="909">
      <pivotArea dataOnly="0" labelOnly="1" fieldPosition="0">
        <references count="2">
          <reference field="0" count="1" selected="0">
            <x v="236"/>
          </reference>
          <reference field="1" count="1">
            <x v="192"/>
          </reference>
        </references>
      </pivotArea>
    </format>
    <format dxfId="908">
      <pivotArea dataOnly="0" labelOnly="1" fieldPosition="0">
        <references count="2">
          <reference field="0" count="1" selected="0">
            <x v="237"/>
          </reference>
          <reference field="1" count="1">
            <x v="193"/>
          </reference>
        </references>
      </pivotArea>
    </format>
    <format dxfId="907">
      <pivotArea dataOnly="0" labelOnly="1" fieldPosition="0">
        <references count="2">
          <reference field="0" count="1" selected="0">
            <x v="238"/>
          </reference>
          <reference field="1" count="1">
            <x v="194"/>
          </reference>
        </references>
      </pivotArea>
    </format>
    <format dxfId="906">
      <pivotArea dataOnly="0" labelOnly="1" fieldPosition="0">
        <references count="2">
          <reference field="0" count="1" selected="0">
            <x v="239"/>
          </reference>
          <reference field="1" count="1">
            <x v="195"/>
          </reference>
        </references>
      </pivotArea>
    </format>
    <format dxfId="905">
      <pivotArea dataOnly="0" labelOnly="1" fieldPosition="0">
        <references count="2">
          <reference field="0" count="1" selected="0">
            <x v="240"/>
          </reference>
          <reference field="1" count="1">
            <x v="196"/>
          </reference>
        </references>
      </pivotArea>
    </format>
    <format dxfId="904">
      <pivotArea dataOnly="0" labelOnly="1" fieldPosition="0">
        <references count="2">
          <reference field="0" count="1" selected="0">
            <x v="241"/>
          </reference>
          <reference field="1" count="1">
            <x v="197"/>
          </reference>
        </references>
      </pivotArea>
    </format>
    <format dxfId="903">
      <pivotArea dataOnly="0" labelOnly="1" fieldPosition="0">
        <references count="2">
          <reference field="0" count="1" selected="0">
            <x v="242"/>
          </reference>
          <reference field="1" count="1">
            <x v="198"/>
          </reference>
        </references>
      </pivotArea>
    </format>
    <format dxfId="902">
      <pivotArea dataOnly="0" labelOnly="1" fieldPosition="0">
        <references count="3">
          <reference field="0" count="1" selected="0">
            <x v="0"/>
          </reference>
          <reference field="1" count="1" selected="0">
            <x v="228"/>
          </reference>
          <reference field="2" count="1">
            <x v="153"/>
          </reference>
        </references>
      </pivotArea>
    </format>
    <format dxfId="901">
      <pivotArea dataOnly="0" labelOnly="1" fieldPosition="0">
        <references count="3">
          <reference field="0" count="1" selected="0">
            <x v="2"/>
          </reference>
          <reference field="1" count="1" selected="0">
            <x v="230"/>
          </reference>
          <reference field="2" count="1">
            <x v="225"/>
          </reference>
        </references>
      </pivotArea>
    </format>
    <format dxfId="900">
      <pivotArea dataOnly="0" labelOnly="1" fieldPosition="0">
        <references count="3">
          <reference field="0" count="1" selected="0">
            <x v="3"/>
          </reference>
          <reference field="1" count="1" selected="0">
            <x v="231"/>
          </reference>
          <reference field="2" count="1">
            <x v="88"/>
          </reference>
        </references>
      </pivotArea>
    </format>
    <format dxfId="899">
      <pivotArea dataOnly="0" labelOnly="1" fieldPosition="0">
        <references count="3">
          <reference field="0" count="1" selected="0">
            <x v="4"/>
          </reference>
          <reference field="1" count="1" selected="0">
            <x v="232"/>
          </reference>
          <reference field="2" count="1">
            <x v="90"/>
          </reference>
        </references>
      </pivotArea>
    </format>
    <format dxfId="898">
      <pivotArea dataOnly="0" labelOnly="1" fieldPosition="0">
        <references count="3">
          <reference field="0" count="1" selected="0">
            <x v="5"/>
          </reference>
          <reference field="1" count="1" selected="0">
            <x v="233"/>
          </reference>
          <reference field="2" count="1">
            <x v="224"/>
          </reference>
        </references>
      </pivotArea>
    </format>
    <format dxfId="897">
      <pivotArea dataOnly="0" labelOnly="1" fieldPosition="0">
        <references count="3">
          <reference field="0" count="1" selected="0">
            <x v="7"/>
          </reference>
          <reference field="1" count="1" selected="0">
            <x v="118"/>
          </reference>
          <reference field="2" count="1">
            <x v="171"/>
          </reference>
        </references>
      </pivotArea>
    </format>
    <format dxfId="896">
      <pivotArea dataOnly="0" labelOnly="1" fieldPosition="0">
        <references count="3">
          <reference field="0" count="1" selected="0">
            <x v="9"/>
          </reference>
          <reference field="1" count="1" selected="0">
            <x v="120"/>
          </reference>
          <reference field="2" count="1">
            <x v="168"/>
          </reference>
        </references>
      </pivotArea>
    </format>
    <format dxfId="895">
      <pivotArea dataOnly="0" labelOnly="1" fieldPosition="0">
        <references count="3">
          <reference field="0" count="1" selected="0">
            <x v="10"/>
          </reference>
          <reference field="1" count="1" selected="0">
            <x v="121"/>
          </reference>
          <reference field="2" count="1">
            <x v="82"/>
          </reference>
        </references>
      </pivotArea>
    </format>
    <format dxfId="894">
      <pivotArea dataOnly="0" labelOnly="1" fieldPosition="0">
        <references count="3">
          <reference field="0" count="1" selected="0">
            <x v="11"/>
          </reference>
          <reference field="1" count="1" selected="0">
            <x v="122"/>
          </reference>
          <reference field="2" count="1">
            <x v="26"/>
          </reference>
        </references>
      </pivotArea>
    </format>
    <format dxfId="893">
      <pivotArea dataOnly="0" labelOnly="1" fieldPosition="0">
        <references count="3">
          <reference field="0" count="1" selected="0">
            <x v="12"/>
          </reference>
          <reference field="1" count="1" selected="0">
            <x v="123"/>
          </reference>
          <reference field="2" count="1">
            <x v="150"/>
          </reference>
        </references>
      </pivotArea>
    </format>
    <format dxfId="892">
      <pivotArea dataOnly="0" labelOnly="1" fieldPosition="0">
        <references count="3">
          <reference field="0" count="1" selected="0">
            <x v="16"/>
          </reference>
          <reference field="1" count="1" selected="0">
            <x v="64"/>
          </reference>
          <reference field="2" count="1">
            <x v="157"/>
          </reference>
        </references>
      </pivotArea>
    </format>
    <format dxfId="891">
      <pivotArea dataOnly="0" labelOnly="1" fieldPosition="0">
        <references count="3">
          <reference field="0" count="1" selected="0">
            <x v="18"/>
          </reference>
          <reference field="1" count="1" selected="0">
            <x v="66"/>
          </reference>
          <reference field="2" count="1">
            <x v="189"/>
          </reference>
        </references>
      </pivotArea>
    </format>
    <format dxfId="890">
      <pivotArea dataOnly="0" labelOnly="1" fieldPosition="0">
        <references count="3">
          <reference field="0" count="1" selected="0">
            <x v="22"/>
          </reference>
          <reference field="1" count="1" selected="0">
            <x v="19"/>
          </reference>
          <reference field="2" count="1">
            <x v="39"/>
          </reference>
        </references>
      </pivotArea>
    </format>
    <format dxfId="889">
      <pivotArea dataOnly="0" labelOnly="1" fieldPosition="0">
        <references count="3">
          <reference field="0" count="1" selected="0">
            <x v="25"/>
          </reference>
          <reference field="1" count="1" selected="0">
            <x v="22"/>
          </reference>
          <reference field="2" count="1">
            <x v="84"/>
          </reference>
        </references>
      </pivotArea>
    </format>
    <format dxfId="888">
      <pivotArea dataOnly="0" labelOnly="1" fieldPosition="0">
        <references count="3">
          <reference field="0" count="1" selected="0">
            <x v="26"/>
          </reference>
          <reference field="1" count="1" selected="0">
            <x v="23"/>
          </reference>
          <reference field="2" count="1">
            <x v="217"/>
          </reference>
        </references>
      </pivotArea>
    </format>
    <format dxfId="887">
      <pivotArea dataOnly="0" labelOnly="1" fieldPosition="0">
        <references count="3">
          <reference field="0" count="1" selected="0">
            <x v="28"/>
          </reference>
          <reference field="1" count="1" selected="0">
            <x v="25"/>
          </reference>
          <reference field="2" count="1">
            <x v="52"/>
          </reference>
        </references>
      </pivotArea>
    </format>
    <format dxfId="886">
      <pivotArea dataOnly="0" labelOnly="1" fieldPosition="0">
        <references count="3">
          <reference field="0" count="1" selected="0">
            <x v="29"/>
          </reference>
          <reference field="1" count="1" selected="0">
            <x v="26"/>
          </reference>
          <reference field="2" count="1">
            <x v="62"/>
          </reference>
        </references>
      </pivotArea>
    </format>
    <format dxfId="885">
      <pivotArea dataOnly="0" labelOnly="1" fieldPosition="0">
        <references count="3">
          <reference field="0" count="1" selected="0">
            <x v="30"/>
          </reference>
          <reference field="1" count="1" selected="0">
            <x v="27"/>
          </reference>
          <reference field="2" count="1">
            <x v="7"/>
          </reference>
        </references>
      </pivotArea>
    </format>
    <format dxfId="884">
      <pivotArea dataOnly="0" labelOnly="1" fieldPosition="0">
        <references count="3">
          <reference field="0" count="1" selected="0">
            <x v="31"/>
          </reference>
          <reference field="1" count="1" selected="0">
            <x v="28"/>
          </reference>
          <reference field="2" count="1">
            <x v="53"/>
          </reference>
        </references>
      </pivotArea>
    </format>
    <format dxfId="883">
      <pivotArea dataOnly="0" labelOnly="1" fieldPosition="0">
        <references count="3">
          <reference field="0" count="1" selected="0">
            <x v="35"/>
          </reference>
          <reference field="1" count="1" selected="0">
            <x v="32"/>
          </reference>
          <reference field="2" count="1">
            <x v="51"/>
          </reference>
        </references>
      </pivotArea>
    </format>
    <format dxfId="882">
      <pivotArea dataOnly="0" labelOnly="1" fieldPosition="0">
        <references count="3">
          <reference field="0" count="1" selected="0">
            <x v="36"/>
          </reference>
          <reference field="1" count="1" selected="0">
            <x v="33"/>
          </reference>
          <reference field="2" count="1">
            <x v="130"/>
          </reference>
        </references>
      </pivotArea>
    </format>
    <format dxfId="881">
      <pivotArea dataOnly="0" labelOnly="1" fieldPosition="0">
        <references count="3">
          <reference field="0" count="1" selected="0">
            <x v="37"/>
          </reference>
          <reference field="1" count="1" selected="0">
            <x v="34"/>
          </reference>
          <reference field="2" count="1">
            <x v="70"/>
          </reference>
        </references>
      </pivotArea>
    </format>
    <format dxfId="880">
      <pivotArea dataOnly="0" labelOnly="1" fieldPosition="0">
        <references count="3">
          <reference field="0" count="1" selected="0">
            <x v="38"/>
          </reference>
          <reference field="1" count="1" selected="0">
            <x v="0"/>
          </reference>
          <reference field="2" count="1">
            <x v="45"/>
          </reference>
        </references>
      </pivotArea>
    </format>
    <format dxfId="879">
      <pivotArea dataOnly="0" labelOnly="1" fieldPosition="0">
        <references count="3">
          <reference field="0" count="1" selected="0">
            <x v="39"/>
          </reference>
          <reference field="1" count="1" selected="0">
            <x v="1"/>
          </reference>
          <reference field="2" count="1">
            <x v="46"/>
          </reference>
        </references>
      </pivotArea>
    </format>
    <format dxfId="878">
      <pivotArea dataOnly="0" labelOnly="1" fieldPosition="0">
        <references count="3">
          <reference field="0" count="1" selected="0">
            <x v="40"/>
          </reference>
          <reference field="1" count="1" selected="0">
            <x v="2"/>
          </reference>
          <reference field="2" count="1">
            <x v="128"/>
          </reference>
        </references>
      </pivotArea>
    </format>
    <format dxfId="877">
      <pivotArea dataOnly="0" labelOnly="1" fieldPosition="0">
        <references count="3">
          <reference field="0" count="1" selected="0">
            <x v="41"/>
          </reference>
          <reference field="1" count="1" selected="0">
            <x v="3"/>
          </reference>
          <reference field="2" count="1">
            <x v="105"/>
          </reference>
        </references>
      </pivotArea>
    </format>
    <format dxfId="876">
      <pivotArea dataOnly="0" labelOnly="1" fieldPosition="0">
        <references count="3">
          <reference field="0" count="1" selected="0">
            <x v="42"/>
          </reference>
          <reference field="1" count="1" selected="0">
            <x v="4"/>
          </reference>
          <reference field="2" count="1">
            <x v="64"/>
          </reference>
        </references>
      </pivotArea>
    </format>
    <format dxfId="875">
      <pivotArea dataOnly="0" labelOnly="1" fieldPosition="0">
        <references count="3">
          <reference field="0" count="1" selected="0">
            <x v="43"/>
          </reference>
          <reference field="1" count="1" selected="0">
            <x v="5"/>
          </reference>
          <reference field="2" count="1">
            <x v="19"/>
          </reference>
        </references>
      </pivotArea>
    </format>
    <format dxfId="874">
      <pivotArea dataOnly="0" labelOnly="1" fieldPosition="0">
        <references count="3">
          <reference field="0" count="1" selected="0">
            <x v="44"/>
          </reference>
          <reference field="1" count="1" selected="0">
            <x v="6"/>
          </reference>
          <reference field="2" count="1">
            <x v="23"/>
          </reference>
        </references>
      </pivotArea>
    </format>
    <format dxfId="873">
      <pivotArea dataOnly="0" labelOnly="1" fieldPosition="0">
        <references count="3">
          <reference field="0" count="1" selected="0">
            <x v="45"/>
          </reference>
          <reference field="1" count="1" selected="0">
            <x v="7"/>
          </reference>
          <reference field="2" count="1">
            <x v="22"/>
          </reference>
        </references>
      </pivotArea>
    </format>
    <format dxfId="872">
      <pivotArea dataOnly="0" labelOnly="1" fieldPosition="0">
        <references count="3">
          <reference field="0" count="1" selected="0">
            <x v="46"/>
          </reference>
          <reference field="1" count="1" selected="0">
            <x v="8"/>
          </reference>
          <reference field="2" count="1">
            <x v="135"/>
          </reference>
        </references>
      </pivotArea>
    </format>
    <format dxfId="871">
      <pivotArea dataOnly="0" labelOnly="1" fieldPosition="0">
        <references count="3">
          <reference field="0" count="1" selected="0">
            <x v="47"/>
          </reference>
          <reference field="1" count="1" selected="0">
            <x v="9"/>
          </reference>
          <reference field="2" count="1">
            <x v="141"/>
          </reference>
        </references>
      </pivotArea>
    </format>
    <format dxfId="870">
      <pivotArea dataOnly="0" labelOnly="1" fieldPosition="0">
        <references count="3">
          <reference field="0" count="1" selected="0">
            <x v="49"/>
          </reference>
          <reference field="1" count="1" selected="0">
            <x v="11"/>
          </reference>
          <reference field="2" count="1">
            <x v="127"/>
          </reference>
        </references>
      </pivotArea>
    </format>
    <format dxfId="869">
      <pivotArea dataOnly="0" labelOnly="1" fieldPosition="0">
        <references count="3">
          <reference field="0" count="1" selected="0">
            <x v="55"/>
          </reference>
          <reference field="1" count="1" selected="0">
            <x v="35"/>
          </reference>
          <reference field="2" count="1">
            <x v="65"/>
          </reference>
        </references>
      </pivotArea>
    </format>
    <format dxfId="868">
      <pivotArea dataOnly="0" labelOnly="1" fieldPosition="0">
        <references count="3">
          <reference field="0" count="1" selected="0">
            <x v="56"/>
          </reference>
          <reference field="1" count="1" selected="0">
            <x v="36"/>
          </reference>
          <reference field="2" count="1">
            <x v="183"/>
          </reference>
        </references>
      </pivotArea>
    </format>
    <format dxfId="867">
      <pivotArea dataOnly="0" labelOnly="1" fieldPosition="0">
        <references count="3">
          <reference field="0" count="1" selected="0">
            <x v="62"/>
          </reference>
          <reference field="1" count="1" selected="0">
            <x v="42"/>
          </reference>
          <reference field="2" count="1">
            <x v="15"/>
          </reference>
        </references>
      </pivotArea>
    </format>
    <format dxfId="866">
      <pivotArea dataOnly="0" labelOnly="1" fieldPosition="0">
        <references count="3">
          <reference field="0" count="1" selected="0">
            <x v="63"/>
          </reference>
          <reference field="1" count="1" selected="0">
            <x v="43"/>
          </reference>
          <reference field="2" count="1">
            <x v="152"/>
          </reference>
        </references>
      </pivotArea>
    </format>
    <format dxfId="865">
      <pivotArea dataOnly="0" labelOnly="1" fieldPosition="0">
        <references count="3">
          <reference field="0" count="1" selected="0">
            <x v="64"/>
          </reference>
          <reference field="1" count="1" selected="0">
            <x v="44"/>
          </reference>
          <reference field="2" count="1">
            <x v="146"/>
          </reference>
        </references>
      </pivotArea>
    </format>
    <format dxfId="864">
      <pivotArea dataOnly="0" labelOnly="1" fieldPosition="0">
        <references count="3">
          <reference field="0" count="1" selected="0">
            <x v="65"/>
          </reference>
          <reference field="1" count="1" selected="0">
            <x v="45"/>
          </reference>
          <reference field="2" count="1">
            <x v="204"/>
          </reference>
        </references>
      </pivotArea>
    </format>
    <format dxfId="863">
      <pivotArea dataOnly="0" labelOnly="1" fieldPosition="0">
        <references count="3">
          <reference field="0" count="1" selected="0">
            <x v="66"/>
          </reference>
          <reference field="1" count="1" selected="0">
            <x v="46"/>
          </reference>
          <reference field="2" count="1">
            <x v="92"/>
          </reference>
        </references>
      </pivotArea>
    </format>
    <format dxfId="862">
      <pivotArea dataOnly="0" labelOnly="1" fieldPosition="0">
        <references count="3">
          <reference field="0" count="1" selected="0">
            <x v="67"/>
          </reference>
          <reference field="1" count="1" selected="0">
            <x v="47"/>
          </reference>
          <reference field="2" count="1">
            <x v="181"/>
          </reference>
        </references>
      </pivotArea>
    </format>
    <format dxfId="861">
      <pivotArea dataOnly="0" labelOnly="1" fieldPosition="0">
        <references count="3">
          <reference field="0" count="1" selected="0">
            <x v="68"/>
          </reference>
          <reference field="1" count="1" selected="0">
            <x v="48"/>
          </reference>
          <reference field="2" count="1">
            <x v="231"/>
          </reference>
        </references>
      </pivotArea>
    </format>
    <format dxfId="860">
      <pivotArea dataOnly="0" labelOnly="1" fieldPosition="0">
        <references count="3">
          <reference field="0" count="1" selected="0">
            <x v="79"/>
          </reference>
          <reference field="1" count="1" selected="0">
            <x v="59"/>
          </reference>
          <reference field="2" count="1">
            <x v="21"/>
          </reference>
        </references>
      </pivotArea>
    </format>
    <format dxfId="859">
      <pivotArea dataOnly="0" labelOnly="1" fieldPosition="0">
        <references count="3">
          <reference field="0" count="1" selected="0">
            <x v="81"/>
          </reference>
          <reference field="1" count="1" selected="0">
            <x v="68"/>
          </reference>
          <reference field="2" count="1">
            <x v="112"/>
          </reference>
        </references>
      </pivotArea>
    </format>
    <format dxfId="858">
      <pivotArea dataOnly="0" labelOnly="1" fieldPosition="0">
        <references count="3">
          <reference field="0" count="1" selected="0">
            <x v="82"/>
          </reference>
          <reference field="1" count="1" selected="0">
            <x v="69"/>
          </reference>
          <reference field="2" count="1">
            <x v="226"/>
          </reference>
        </references>
      </pivotArea>
    </format>
    <format dxfId="857">
      <pivotArea dataOnly="0" labelOnly="1" fieldPosition="0">
        <references count="3">
          <reference field="0" count="1" selected="0">
            <x v="83"/>
          </reference>
          <reference field="1" count="1" selected="0">
            <x v="70"/>
          </reference>
          <reference field="2" count="1">
            <x v="193"/>
          </reference>
        </references>
      </pivotArea>
    </format>
    <format dxfId="856">
      <pivotArea dataOnly="0" labelOnly="1" fieldPosition="0">
        <references count="3">
          <reference field="0" count="1" selected="0">
            <x v="84"/>
          </reference>
          <reference field="1" count="1" selected="0">
            <x v="71"/>
          </reference>
          <reference field="2" count="1">
            <x v="192"/>
          </reference>
        </references>
      </pivotArea>
    </format>
    <format dxfId="855">
      <pivotArea dataOnly="0" labelOnly="1" fieldPosition="0">
        <references count="3">
          <reference field="0" count="1" selected="0">
            <x v="85"/>
          </reference>
          <reference field="1" count="1" selected="0">
            <x v="72"/>
          </reference>
          <reference field="2" count="1">
            <x v="87"/>
          </reference>
        </references>
      </pivotArea>
    </format>
    <format dxfId="854">
      <pivotArea dataOnly="0" labelOnly="1" fieldPosition="0">
        <references count="3">
          <reference field="0" count="1" selected="0">
            <x v="86"/>
          </reference>
          <reference field="1" count="1" selected="0">
            <x v="73"/>
          </reference>
          <reference field="2" count="1">
            <x v="154"/>
          </reference>
        </references>
      </pivotArea>
    </format>
    <format dxfId="853">
      <pivotArea dataOnly="0" labelOnly="1" fieldPosition="0">
        <references count="3">
          <reference field="0" count="1" selected="0">
            <x v="87"/>
          </reference>
          <reference field="1" count="1" selected="0">
            <x v="74"/>
          </reference>
          <reference field="2" count="1">
            <x v="208"/>
          </reference>
        </references>
      </pivotArea>
    </format>
    <format dxfId="852">
      <pivotArea dataOnly="0" labelOnly="1" fieldPosition="0">
        <references count="3">
          <reference field="0" count="1" selected="0">
            <x v="88"/>
          </reference>
          <reference field="1" count="1" selected="0">
            <x v="75"/>
          </reference>
          <reference field="2" count="1">
            <x v="38"/>
          </reference>
        </references>
      </pivotArea>
    </format>
    <format dxfId="851">
      <pivotArea dataOnly="0" labelOnly="1" fieldPosition="0">
        <references count="3">
          <reference field="0" count="1" selected="0">
            <x v="89"/>
          </reference>
          <reference field="1" count="1" selected="0">
            <x v="76"/>
          </reference>
          <reference field="2" count="1">
            <x v="232"/>
          </reference>
        </references>
      </pivotArea>
    </format>
    <format dxfId="850">
      <pivotArea dataOnly="0" labelOnly="1" fieldPosition="0">
        <references count="3">
          <reference field="0" count="1" selected="0">
            <x v="90"/>
          </reference>
          <reference field="1" count="1" selected="0">
            <x v="77"/>
          </reference>
          <reference field="2" count="1">
            <x v="43"/>
          </reference>
        </references>
      </pivotArea>
    </format>
    <format dxfId="849">
      <pivotArea dataOnly="0" labelOnly="1" fieldPosition="0">
        <references count="3">
          <reference field="0" count="1" selected="0">
            <x v="91"/>
          </reference>
          <reference field="1" count="1" selected="0">
            <x v="78"/>
          </reference>
          <reference field="2" count="1">
            <x v="12"/>
          </reference>
        </references>
      </pivotArea>
    </format>
    <format dxfId="848">
      <pivotArea dataOnly="0" labelOnly="1" fieldPosition="0">
        <references count="3">
          <reference field="0" count="1" selected="0">
            <x v="93"/>
          </reference>
          <reference field="1" count="1" selected="0">
            <x v="80"/>
          </reference>
          <reference field="2" count="1">
            <x v="180"/>
          </reference>
        </references>
      </pivotArea>
    </format>
    <format dxfId="847">
      <pivotArea dataOnly="0" labelOnly="1" fieldPosition="0">
        <references count="3">
          <reference field="0" count="1" selected="0">
            <x v="94"/>
          </reference>
          <reference field="1" count="1" selected="0">
            <x v="81"/>
          </reference>
          <reference field="2" count="1">
            <x v="60"/>
          </reference>
        </references>
      </pivotArea>
    </format>
    <format dxfId="846">
      <pivotArea dataOnly="0" labelOnly="1" fieldPosition="0">
        <references count="3">
          <reference field="0" count="1" selected="0">
            <x v="95"/>
          </reference>
          <reference field="1" count="1" selected="0">
            <x v="82"/>
          </reference>
          <reference field="2" count="1">
            <x v="5"/>
          </reference>
        </references>
      </pivotArea>
    </format>
    <format dxfId="845">
      <pivotArea dataOnly="0" labelOnly="1" fieldPosition="0">
        <references count="3">
          <reference field="0" count="1" selected="0">
            <x v="96"/>
          </reference>
          <reference field="1" count="1" selected="0">
            <x v="83"/>
          </reference>
          <reference field="2" count="1">
            <x v="173"/>
          </reference>
        </references>
      </pivotArea>
    </format>
    <format dxfId="844">
      <pivotArea dataOnly="0" labelOnly="1" fieldPosition="0">
        <references count="3">
          <reference field="0" count="1" selected="0">
            <x v="97"/>
          </reference>
          <reference field="1" count="1" selected="0">
            <x v="84"/>
          </reference>
          <reference field="2" count="1">
            <x v="6"/>
          </reference>
        </references>
      </pivotArea>
    </format>
    <format dxfId="843">
      <pivotArea dataOnly="0" labelOnly="1" fieldPosition="0">
        <references count="3">
          <reference field="0" count="1" selected="0">
            <x v="98"/>
          </reference>
          <reference field="1" count="1" selected="0">
            <x v="85"/>
          </reference>
          <reference field="2" count="1">
            <x v="214"/>
          </reference>
        </references>
      </pivotArea>
    </format>
    <format dxfId="842">
      <pivotArea dataOnly="0" labelOnly="1" fieldPosition="0">
        <references count="3">
          <reference field="0" count="1" selected="0">
            <x v="99"/>
          </reference>
          <reference field="1" count="1" selected="0">
            <x v="86"/>
          </reference>
          <reference field="2" count="1">
            <x v="66"/>
          </reference>
        </references>
      </pivotArea>
    </format>
    <format dxfId="841">
      <pivotArea dataOnly="0" labelOnly="1" fieldPosition="0">
        <references count="3">
          <reference field="0" count="1" selected="0">
            <x v="100"/>
          </reference>
          <reference field="1" count="1" selected="0">
            <x v="87"/>
          </reference>
          <reference field="2" count="1">
            <x v="75"/>
          </reference>
        </references>
      </pivotArea>
    </format>
    <format dxfId="840">
      <pivotArea dataOnly="0" labelOnly="1" fieldPosition="0">
        <references count="3">
          <reference field="0" count="1" selected="0">
            <x v="101"/>
          </reference>
          <reference field="1" count="1" selected="0">
            <x v="88"/>
          </reference>
          <reference field="2" count="1">
            <x v="29"/>
          </reference>
        </references>
      </pivotArea>
    </format>
    <format dxfId="839">
      <pivotArea dataOnly="0" labelOnly="1" fieldPosition="0">
        <references count="3">
          <reference field="0" count="1" selected="0">
            <x v="102"/>
          </reference>
          <reference field="1" count="1" selected="0">
            <x v="89"/>
          </reference>
          <reference field="2" count="1">
            <x v="14"/>
          </reference>
        </references>
      </pivotArea>
    </format>
    <format dxfId="838">
      <pivotArea dataOnly="0" labelOnly="1" fieldPosition="0">
        <references count="3">
          <reference field="0" count="1" selected="0">
            <x v="103"/>
          </reference>
          <reference field="1" count="1" selected="0">
            <x v="90"/>
          </reference>
          <reference field="2" count="1">
            <x v="73"/>
          </reference>
        </references>
      </pivotArea>
    </format>
    <format dxfId="837">
      <pivotArea dataOnly="0" labelOnly="1" fieldPosition="0">
        <references count="3">
          <reference field="0" count="1" selected="0">
            <x v="104"/>
          </reference>
          <reference field="1" count="1" selected="0">
            <x v="91"/>
          </reference>
          <reference field="2" count="1">
            <x v="68"/>
          </reference>
        </references>
      </pivotArea>
    </format>
    <format dxfId="836">
      <pivotArea dataOnly="0" labelOnly="1" fieldPosition="0">
        <references count="3">
          <reference field="0" count="1" selected="0">
            <x v="105"/>
          </reference>
          <reference field="1" count="1" selected="0">
            <x v="92"/>
          </reference>
          <reference field="2" count="1">
            <x v="134"/>
          </reference>
        </references>
      </pivotArea>
    </format>
    <format dxfId="835">
      <pivotArea dataOnly="0" labelOnly="1" fieldPosition="0">
        <references count="3">
          <reference field="0" count="1" selected="0">
            <x v="106"/>
          </reference>
          <reference field="1" count="1" selected="0">
            <x v="93"/>
          </reference>
          <reference field="2" count="1">
            <x v="76"/>
          </reference>
        </references>
      </pivotArea>
    </format>
    <format dxfId="834">
      <pivotArea dataOnly="0" labelOnly="1" fieldPosition="0">
        <references count="3">
          <reference field="0" count="1" selected="0">
            <x v="107"/>
          </reference>
          <reference field="1" count="1" selected="0">
            <x v="94"/>
          </reference>
          <reference field="2" count="1">
            <x v="190"/>
          </reference>
        </references>
      </pivotArea>
    </format>
    <format dxfId="833">
      <pivotArea dataOnly="0" labelOnly="1" fieldPosition="0">
        <references count="3">
          <reference field="0" count="1" selected="0">
            <x v="108"/>
          </reference>
          <reference field="1" count="1" selected="0">
            <x v="95"/>
          </reference>
          <reference field="2" count="1">
            <x v="236"/>
          </reference>
        </references>
      </pivotArea>
    </format>
    <format dxfId="832">
      <pivotArea dataOnly="0" labelOnly="1" fieldPosition="0">
        <references count="3">
          <reference field="0" count="1" selected="0">
            <x v="110"/>
          </reference>
          <reference field="1" count="1" selected="0">
            <x v="97"/>
          </reference>
          <reference field="2" count="1">
            <x v="123"/>
          </reference>
        </references>
      </pivotArea>
    </format>
    <format dxfId="831">
      <pivotArea dataOnly="0" labelOnly="1" fieldPosition="0">
        <references count="3">
          <reference field="0" count="1" selected="0">
            <x v="111"/>
          </reference>
          <reference field="1" count="1" selected="0">
            <x v="98"/>
          </reference>
          <reference field="2" count="1">
            <x v="83"/>
          </reference>
        </references>
      </pivotArea>
    </format>
    <format dxfId="830">
      <pivotArea dataOnly="0" labelOnly="1" fieldPosition="0">
        <references count="3">
          <reference field="0" count="1" selected="0">
            <x v="113"/>
          </reference>
          <reference field="1" count="1" selected="0">
            <x v="100"/>
          </reference>
          <reference field="2" count="1">
            <x v="124"/>
          </reference>
        </references>
      </pivotArea>
    </format>
    <format dxfId="829">
      <pivotArea dataOnly="0" labelOnly="1" fieldPosition="0">
        <references count="3">
          <reference field="0" count="1" selected="0">
            <x v="121"/>
          </reference>
          <reference field="1" count="1" selected="0">
            <x v="108"/>
          </reference>
          <reference field="2" count="1">
            <x v="207"/>
          </reference>
        </references>
      </pivotArea>
    </format>
    <format dxfId="828">
      <pivotArea dataOnly="0" labelOnly="1" fieldPosition="0">
        <references count="3">
          <reference field="0" count="1" selected="0">
            <x v="122"/>
          </reference>
          <reference field="1" count="1" selected="0">
            <x v="109"/>
          </reference>
          <reference field="2" count="1">
            <x v="35"/>
          </reference>
        </references>
      </pivotArea>
    </format>
    <format dxfId="827">
      <pivotArea dataOnly="0" labelOnly="1" fieldPosition="0">
        <references count="3">
          <reference field="0" count="1" selected="0">
            <x v="123"/>
          </reference>
          <reference field="1" count="1" selected="0">
            <x v="110"/>
          </reference>
          <reference field="2" count="1">
            <x v="176"/>
          </reference>
        </references>
      </pivotArea>
    </format>
    <format dxfId="826">
      <pivotArea dataOnly="0" labelOnly="1" fieldPosition="0">
        <references count="3">
          <reference field="0" count="1" selected="0">
            <x v="124"/>
          </reference>
          <reference field="1" count="1" selected="0">
            <x v="111"/>
          </reference>
          <reference field="2" count="1">
            <x v="218"/>
          </reference>
        </references>
      </pivotArea>
    </format>
    <format dxfId="825">
      <pivotArea dataOnly="0" labelOnly="1" fieldPosition="0">
        <references count="3">
          <reference field="0" count="1" selected="0">
            <x v="125"/>
          </reference>
          <reference field="1" count="1" selected="0">
            <x v="112"/>
          </reference>
          <reference field="2" count="1">
            <x v="197"/>
          </reference>
        </references>
      </pivotArea>
    </format>
    <format dxfId="824">
      <pivotArea dataOnly="0" labelOnly="1" fieldPosition="0">
        <references count="3">
          <reference field="0" count="1" selected="0">
            <x v="126"/>
          </reference>
          <reference field="1" count="1" selected="0">
            <x v="113"/>
          </reference>
          <reference field="2" count="1">
            <x v="191"/>
          </reference>
        </references>
      </pivotArea>
    </format>
    <format dxfId="823">
      <pivotArea dataOnly="0" labelOnly="1" fieldPosition="0">
        <references count="3">
          <reference field="0" count="1" selected="0">
            <x v="127"/>
          </reference>
          <reference field="1" count="1" selected="0">
            <x v="114"/>
          </reference>
          <reference field="2" count="1">
            <x v="174"/>
          </reference>
        </references>
      </pivotArea>
    </format>
    <format dxfId="822">
      <pivotArea dataOnly="0" labelOnly="1" fieldPosition="0">
        <references count="3">
          <reference field="0" count="1" selected="0">
            <x v="128"/>
          </reference>
          <reference field="1" count="1" selected="0">
            <x v="115"/>
          </reference>
          <reference field="2" count="1">
            <x v="59"/>
          </reference>
        </references>
      </pivotArea>
    </format>
    <format dxfId="821">
      <pivotArea dataOnly="0" labelOnly="1" fieldPosition="0">
        <references count="3">
          <reference field="0" count="1" selected="0">
            <x v="129"/>
          </reference>
          <reference field="1" count="1" selected="0">
            <x v="116"/>
          </reference>
          <reference field="2" count="1">
            <x v="212"/>
          </reference>
        </references>
      </pivotArea>
    </format>
    <format dxfId="820">
      <pivotArea dataOnly="0" labelOnly="1" fieldPosition="0">
        <references count="3">
          <reference field="0" count="1" selected="0">
            <x v="130"/>
          </reference>
          <reference field="1" count="1" selected="0">
            <x v="117"/>
          </reference>
          <reference field="2" count="1">
            <x v="118"/>
          </reference>
        </references>
      </pivotArea>
    </format>
    <format dxfId="819">
      <pivotArea dataOnly="0" labelOnly="1" fieldPosition="0">
        <references count="3">
          <reference field="0" count="1" selected="0">
            <x v="134"/>
          </reference>
          <reference field="1" count="1" selected="0">
            <x v="127"/>
          </reference>
          <reference field="2" count="1">
            <x v="2"/>
          </reference>
        </references>
      </pivotArea>
    </format>
    <format dxfId="818">
      <pivotArea dataOnly="0" labelOnly="1" fieldPosition="0">
        <references count="3">
          <reference field="0" count="1" selected="0">
            <x v="135"/>
          </reference>
          <reference field="1" count="1" selected="0">
            <x v="128"/>
          </reference>
          <reference field="2" count="1">
            <x v="151"/>
          </reference>
        </references>
      </pivotArea>
    </format>
    <format dxfId="817">
      <pivotArea dataOnly="0" labelOnly="1" fieldPosition="0">
        <references count="3">
          <reference field="0" count="1" selected="0">
            <x v="136"/>
          </reference>
          <reference field="1" count="1" selected="0">
            <x v="129"/>
          </reference>
          <reference field="2" count="1">
            <x v="219"/>
          </reference>
        </references>
      </pivotArea>
    </format>
    <format dxfId="816">
      <pivotArea dataOnly="0" labelOnly="1" fieldPosition="0">
        <references count="3">
          <reference field="0" count="1" selected="0">
            <x v="144"/>
          </reference>
          <reference field="1" count="1" selected="0">
            <x v="137"/>
          </reference>
          <reference field="2" count="1">
            <x v="79"/>
          </reference>
        </references>
      </pivotArea>
    </format>
    <format dxfId="815">
      <pivotArea dataOnly="0" labelOnly="1" fieldPosition="0">
        <references count="3">
          <reference field="0" count="1" selected="0">
            <x v="146"/>
          </reference>
          <reference field="1" count="1" selected="0">
            <x v="139"/>
          </reference>
          <reference field="2" count="1">
            <x v="30"/>
          </reference>
        </references>
      </pivotArea>
    </format>
    <format dxfId="814">
      <pivotArea dataOnly="0" labelOnly="1" fieldPosition="0">
        <references count="3">
          <reference field="0" count="1" selected="0">
            <x v="147"/>
          </reference>
          <reference field="1" count="1" selected="0">
            <x v="140"/>
          </reference>
          <reference field="2" count="1">
            <x v="211"/>
          </reference>
        </references>
      </pivotArea>
    </format>
    <format dxfId="813">
      <pivotArea dataOnly="0" labelOnly="1" fieldPosition="0">
        <references count="3">
          <reference field="0" count="1" selected="0">
            <x v="148"/>
          </reference>
          <reference field="1" count="1" selected="0">
            <x v="141"/>
          </reference>
          <reference field="2" count="1">
            <x v="95"/>
          </reference>
        </references>
      </pivotArea>
    </format>
    <format dxfId="812">
      <pivotArea dataOnly="0" labelOnly="1" fieldPosition="0">
        <references count="3">
          <reference field="0" count="1" selected="0">
            <x v="149"/>
          </reference>
          <reference field="1" count="1" selected="0">
            <x v="142"/>
          </reference>
          <reference field="2" count="1">
            <x v="165"/>
          </reference>
        </references>
      </pivotArea>
    </format>
    <format dxfId="811">
      <pivotArea dataOnly="0" labelOnly="1" fieldPosition="0">
        <references count="3">
          <reference field="0" count="1" selected="0">
            <x v="150"/>
          </reference>
          <reference field="1" count="1" selected="0">
            <x v="143"/>
          </reference>
          <reference field="2" count="1">
            <x v="166"/>
          </reference>
        </references>
      </pivotArea>
    </format>
    <format dxfId="810">
      <pivotArea dataOnly="0" labelOnly="1" fieldPosition="0">
        <references count="3">
          <reference field="0" count="1" selected="0">
            <x v="151"/>
          </reference>
          <reference field="1" count="1" selected="0">
            <x v="144"/>
          </reference>
          <reference field="2" count="1">
            <x v="85"/>
          </reference>
        </references>
      </pivotArea>
    </format>
    <format dxfId="809">
      <pivotArea dataOnly="0" labelOnly="1" fieldPosition="0">
        <references count="3">
          <reference field="0" count="1" selected="0">
            <x v="152"/>
          </reference>
          <reference field="1" count="1" selected="0">
            <x v="145"/>
          </reference>
          <reference field="2" count="1">
            <x v="86"/>
          </reference>
        </references>
      </pivotArea>
    </format>
    <format dxfId="808">
      <pivotArea dataOnly="0" labelOnly="1" fieldPosition="0">
        <references count="3">
          <reference field="0" count="1" selected="0">
            <x v="153"/>
          </reference>
          <reference field="1" count="1" selected="0">
            <x v="146"/>
          </reference>
          <reference field="2" count="1">
            <x v="54"/>
          </reference>
        </references>
      </pivotArea>
    </format>
    <format dxfId="807">
      <pivotArea dataOnly="0" labelOnly="1" fieldPosition="0">
        <references count="3">
          <reference field="0" count="1" selected="0">
            <x v="154"/>
          </reference>
          <reference field="1" count="1" selected="0">
            <x v="147"/>
          </reference>
          <reference field="2" count="1">
            <x v="109"/>
          </reference>
        </references>
      </pivotArea>
    </format>
    <format dxfId="806">
      <pivotArea dataOnly="0" labelOnly="1" fieldPosition="0">
        <references count="3">
          <reference field="0" count="1" selected="0">
            <x v="155"/>
          </reference>
          <reference field="1" count="1" selected="0">
            <x v="148"/>
          </reference>
          <reference field="2" count="1">
            <x v="3"/>
          </reference>
        </references>
      </pivotArea>
    </format>
    <format dxfId="805">
      <pivotArea dataOnly="0" labelOnly="1" fieldPosition="0">
        <references count="3">
          <reference field="0" count="1" selected="0">
            <x v="159"/>
          </reference>
          <reference field="1" count="1" selected="0">
            <x v="183"/>
          </reference>
          <reference field="2" count="1">
            <x v="122"/>
          </reference>
        </references>
      </pivotArea>
    </format>
    <format dxfId="804">
      <pivotArea dataOnly="0" labelOnly="1" fieldPosition="0">
        <references count="3">
          <reference field="0" count="1" selected="0">
            <x v="160"/>
          </reference>
          <reference field="1" count="1" selected="0">
            <x v="184"/>
          </reference>
          <reference field="2" count="1">
            <x v="187"/>
          </reference>
        </references>
      </pivotArea>
    </format>
    <format dxfId="803">
      <pivotArea dataOnly="0" labelOnly="1" fieldPosition="0">
        <references count="3">
          <reference field="0" count="1" selected="0">
            <x v="161"/>
          </reference>
          <reference field="1" count="1" selected="0">
            <x v="185"/>
          </reference>
          <reference field="2" count="1">
            <x v="186"/>
          </reference>
        </references>
      </pivotArea>
    </format>
    <format dxfId="802">
      <pivotArea dataOnly="0" labelOnly="1" fieldPosition="0">
        <references count="3">
          <reference field="0" count="1" selected="0">
            <x v="162"/>
          </reference>
          <reference field="1" count="1" selected="0">
            <x v="186"/>
          </reference>
          <reference field="2" count="1">
            <x v="125"/>
          </reference>
        </references>
      </pivotArea>
    </format>
    <format dxfId="801">
      <pivotArea dataOnly="0" labelOnly="1" fieldPosition="0">
        <references count="3">
          <reference field="0" count="1" selected="0">
            <x v="164"/>
          </reference>
          <reference field="1" count="1" selected="0">
            <x v="188"/>
          </reference>
          <reference field="2" count="1">
            <x v="119"/>
          </reference>
        </references>
      </pivotArea>
    </format>
    <format dxfId="800">
      <pivotArea dataOnly="0" labelOnly="1" fieldPosition="0">
        <references count="3">
          <reference field="0" count="1" selected="0">
            <x v="165"/>
          </reference>
          <reference field="1" count="1" selected="0">
            <x v="189"/>
          </reference>
          <reference field="2" count="1">
            <x v="156"/>
          </reference>
        </references>
      </pivotArea>
    </format>
    <format dxfId="799">
      <pivotArea dataOnly="0" labelOnly="1" fieldPosition="0">
        <references count="3">
          <reference field="0" count="1" selected="0">
            <x v="166"/>
          </reference>
          <reference field="1" count="1" selected="0">
            <x v="190"/>
          </reference>
          <reference field="2" count="1">
            <x v="213"/>
          </reference>
        </references>
      </pivotArea>
    </format>
    <format dxfId="798">
      <pivotArea dataOnly="0" labelOnly="1" fieldPosition="0">
        <references count="3">
          <reference field="0" count="1" selected="0">
            <x v="167"/>
          </reference>
          <reference field="1" count="1" selected="0">
            <x v="199"/>
          </reference>
          <reference field="2" count="1">
            <x v="56"/>
          </reference>
        </references>
      </pivotArea>
    </format>
    <format dxfId="797">
      <pivotArea dataOnly="0" labelOnly="1" fieldPosition="0">
        <references count="3">
          <reference field="0" count="1" selected="0">
            <x v="168"/>
          </reference>
          <reference field="1" count="1" selected="0">
            <x v="200"/>
          </reference>
          <reference field="2" count="1">
            <x v="9"/>
          </reference>
        </references>
      </pivotArea>
    </format>
    <format dxfId="796">
      <pivotArea dataOnly="0" labelOnly="1" fieldPosition="0">
        <references count="3">
          <reference field="0" count="1" selected="0">
            <x v="171"/>
          </reference>
          <reference field="1" count="1" selected="0">
            <x v="203"/>
          </reference>
          <reference field="2" count="1">
            <x v="10"/>
          </reference>
        </references>
      </pivotArea>
    </format>
    <format dxfId="795">
      <pivotArea dataOnly="0" labelOnly="1" fieldPosition="0">
        <references count="3">
          <reference field="0" count="1" selected="0">
            <x v="172"/>
          </reference>
          <reference field="1" count="1" selected="0">
            <x v="204"/>
          </reference>
          <reference field="2" count="1">
            <x v="216"/>
          </reference>
        </references>
      </pivotArea>
    </format>
    <format dxfId="794">
      <pivotArea dataOnly="0" labelOnly="1" fieldPosition="0">
        <references count="3">
          <reference field="0" count="1" selected="0">
            <x v="173"/>
          </reference>
          <reference field="1" count="1" selected="0">
            <x v="205"/>
          </reference>
          <reference field="2" count="1">
            <x v="94"/>
          </reference>
        </references>
      </pivotArea>
    </format>
    <format dxfId="793">
      <pivotArea dataOnly="0" labelOnly="1" fieldPosition="0">
        <references count="3">
          <reference field="0" count="1" selected="0">
            <x v="175"/>
          </reference>
          <reference field="1" count="1" selected="0">
            <x v="207"/>
          </reference>
          <reference field="2" count="1">
            <x v="172"/>
          </reference>
        </references>
      </pivotArea>
    </format>
    <format dxfId="792">
      <pivotArea dataOnly="0" labelOnly="1" fieldPosition="0">
        <references count="3">
          <reference field="0" count="1" selected="0">
            <x v="176"/>
          </reference>
          <reference field="1" count="1" selected="0">
            <x v="208"/>
          </reference>
          <reference field="2" count="1">
            <x v="215"/>
          </reference>
        </references>
      </pivotArea>
    </format>
    <format dxfId="791">
      <pivotArea dataOnly="0" labelOnly="1" fieldPosition="0">
        <references count="3">
          <reference field="0" count="1" selected="0">
            <x v="177"/>
          </reference>
          <reference field="1" count="1" selected="0">
            <x v="209"/>
          </reference>
          <reference field="2" count="1">
            <x v="114"/>
          </reference>
        </references>
      </pivotArea>
    </format>
    <format dxfId="790">
      <pivotArea dataOnly="0" labelOnly="1" fieldPosition="0">
        <references count="3">
          <reference field="0" count="1" selected="0">
            <x v="178"/>
          </reference>
          <reference field="1" count="1" selected="0">
            <x v="210"/>
          </reference>
          <reference field="2" count="1">
            <x v="11"/>
          </reference>
        </references>
      </pivotArea>
    </format>
    <format dxfId="789">
      <pivotArea dataOnly="0" labelOnly="1" fieldPosition="0">
        <references count="3">
          <reference field="0" count="1" selected="0">
            <x v="179"/>
          </reference>
          <reference field="1" count="1" selected="0">
            <x v="211"/>
          </reference>
          <reference field="2" count="1">
            <x v="96"/>
          </reference>
        </references>
      </pivotArea>
    </format>
    <format dxfId="788">
      <pivotArea dataOnly="0" labelOnly="1" fieldPosition="0">
        <references count="3">
          <reference field="0" count="1" selected="0">
            <x v="180"/>
          </reference>
          <reference field="1" count="1" selected="0">
            <x v="212"/>
          </reference>
          <reference field="2" count="1">
            <x v="97"/>
          </reference>
        </references>
      </pivotArea>
    </format>
    <format dxfId="787">
      <pivotArea dataOnly="0" labelOnly="1" fieldPosition="0">
        <references count="3">
          <reference field="0" count="1" selected="0">
            <x v="181"/>
          </reference>
          <reference field="1" count="1" selected="0">
            <x v="213"/>
          </reference>
          <reference field="2" count="1">
            <x v="234"/>
          </reference>
        </references>
      </pivotArea>
    </format>
    <format dxfId="786">
      <pivotArea dataOnly="0" labelOnly="1" fieldPosition="0">
        <references count="3">
          <reference field="0" count="1" selected="0">
            <x v="182"/>
          </reference>
          <reference field="1" count="1" selected="0">
            <x v="214"/>
          </reference>
          <reference field="2" count="1">
            <x v="235"/>
          </reference>
        </references>
      </pivotArea>
    </format>
    <format dxfId="785">
      <pivotArea dataOnly="0" labelOnly="1" fieldPosition="0">
        <references count="3">
          <reference field="0" count="1" selected="0">
            <x v="183"/>
          </reference>
          <reference field="1" count="1" selected="0">
            <x v="215"/>
          </reference>
          <reference field="2" count="1">
            <x v="206"/>
          </reference>
        </references>
      </pivotArea>
    </format>
    <format dxfId="784">
      <pivotArea dataOnly="0" labelOnly="1" fieldPosition="0">
        <references count="3">
          <reference field="0" count="1" selected="0">
            <x v="184"/>
          </reference>
          <reference field="1" count="1" selected="0">
            <x v="216"/>
          </reference>
          <reference field="2" count="1">
            <x v="111"/>
          </reference>
        </references>
      </pivotArea>
    </format>
    <format dxfId="783">
      <pivotArea dataOnly="0" labelOnly="1" fieldPosition="0">
        <references count="3">
          <reference field="0" count="1" selected="0">
            <x v="185"/>
          </reference>
          <reference field="1" count="1" selected="0">
            <x v="217"/>
          </reference>
          <reference field="2" count="1">
            <x v="113"/>
          </reference>
        </references>
      </pivotArea>
    </format>
    <format dxfId="782">
      <pivotArea dataOnly="0" labelOnly="1" fieldPosition="0">
        <references count="3">
          <reference field="0" count="1" selected="0">
            <x v="186"/>
          </reference>
          <reference field="1" count="1" selected="0">
            <x v="218"/>
          </reference>
          <reference field="2" count="1">
            <x v="93"/>
          </reference>
        </references>
      </pivotArea>
    </format>
    <format dxfId="781">
      <pivotArea dataOnly="0" labelOnly="1" fieldPosition="0">
        <references count="3">
          <reference field="0" count="1" selected="0">
            <x v="187"/>
          </reference>
          <reference field="1" count="1" selected="0">
            <x v="219"/>
          </reference>
          <reference field="2" count="1">
            <x v="104"/>
          </reference>
        </references>
      </pivotArea>
    </format>
    <format dxfId="780">
      <pivotArea dataOnly="0" labelOnly="1" fieldPosition="0">
        <references count="3">
          <reference field="0" count="1" selected="0">
            <x v="188"/>
          </reference>
          <reference field="1" count="1" selected="0">
            <x v="220"/>
          </reference>
          <reference field="2" count="1">
            <x v="196"/>
          </reference>
        </references>
      </pivotArea>
    </format>
    <format dxfId="779">
      <pivotArea dataOnly="0" labelOnly="1" fieldPosition="0">
        <references count="3">
          <reference field="0" count="1" selected="0">
            <x v="189"/>
          </reference>
          <reference field="1" count="1" selected="0">
            <x v="221"/>
          </reference>
          <reference field="2" count="1">
            <x v="182"/>
          </reference>
        </references>
      </pivotArea>
    </format>
    <format dxfId="778">
      <pivotArea dataOnly="0" labelOnly="1" fieldPosition="0">
        <references count="3">
          <reference field="0" count="1" selected="0">
            <x v="192"/>
          </reference>
          <reference field="1" count="1" selected="0">
            <x v="224"/>
          </reference>
          <reference field="2" count="1">
            <x v="80"/>
          </reference>
        </references>
      </pivotArea>
    </format>
    <format dxfId="777">
      <pivotArea dataOnly="0" labelOnly="1" fieldPosition="0">
        <references count="3">
          <reference field="0" count="1" selected="0">
            <x v="193"/>
          </reference>
          <reference field="1" count="1" selected="0">
            <x v="225"/>
          </reference>
          <reference field="2" count="1">
            <x v="238"/>
          </reference>
        </references>
      </pivotArea>
    </format>
    <format dxfId="776">
      <pivotArea dataOnly="0" labelOnly="1" fieldPosition="0">
        <references count="3">
          <reference field="0" count="1" selected="0">
            <x v="197"/>
          </reference>
          <reference field="1" count="1" selected="0">
            <x v="236"/>
          </reference>
          <reference field="2" count="1">
            <x v="102"/>
          </reference>
        </references>
      </pivotArea>
    </format>
    <format dxfId="775">
      <pivotArea dataOnly="0" labelOnly="1" fieldPosition="0">
        <references count="3">
          <reference field="0" count="1" selected="0">
            <x v="199"/>
          </reference>
          <reference field="1" count="1" selected="0">
            <x v="238"/>
          </reference>
          <reference field="2" count="1">
            <x v="33"/>
          </reference>
        </references>
      </pivotArea>
    </format>
    <format dxfId="774">
      <pivotArea dataOnly="0" labelOnly="1" fieldPosition="0">
        <references count="3">
          <reference field="0" count="1" selected="0">
            <x v="200"/>
          </reference>
          <reference field="1" count="1" selected="0">
            <x v="239"/>
          </reference>
          <reference field="2" count="1">
            <x v="34"/>
          </reference>
        </references>
      </pivotArea>
    </format>
    <format dxfId="773">
      <pivotArea dataOnly="0" labelOnly="1" fieldPosition="0">
        <references count="3">
          <reference field="0" count="1" selected="0">
            <x v="201"/>
          </reference>
          <reference field="1" count="1" selected="0">
            <x v="240"/>
          </reference>
          <reference field="2" count="1">
            <x v="37"/>
          </reference>
        </references>
      </pivotArea>
    </format>
    <format dxfId="772">
      <pivotArea dataOnly="0" labelOnly="1" fieldPosition="0">
        <references count="3">
          <reference field="0" count="1" selected="0">
            <x v="204"/>
          </reference>
          <reference field="1" count="1" selected="0">
            <x v="149"/>
          </reference>
          <reference field="2" count="1">
            <x v="117"/>
          </reference>
        </references>
      </pivotArea>
    </format>
    <format dxfId="771">
      <pivotArea dataOnly="0" labelOnly="1" fieldPosition="0">
        <references count="3">
          <reference field="0" count="1" selected="0">
            <x v="206"/>
          </reference>
          <reference field="1" count="1" selected="0">
            <x v="151"/>
          </reference>
          <reference field="2" count="1">
            <x v="159"/>
          </reference>
        </references>
      </pivotArea>
    </format>
    <format dxfId="770">
      <pivotArea dataOnly="0" labelOnly="1" fieldPosition="0">
        <references count="3">
          <reference field="0" count="1" selected="0">
            <x v="207"/>
          </reference>
          <reference field="1" count="1" selected="0">
            <x v="152"/>
          </reference>
          <reference field="2" count="1">
            <x v="81"/>
          </reference>
        </references>
      </pivotArea>
    </format>
    <format dxfId="769">
      <pivotArea dataOnly="0" labelOnly="1" fieldPosition="0">
        <references count="3">
          <reference field="0" count="1" selected="0">
            <x v="208"/>
          </reference>
          <reference field="1" count="1" selected="0">
            <x v="153"/>
          </reference>
          <reference field="2" count="1">
            <x v="103"/>
          </reference>
        </references>
      </pivotArea>
    </format>
    <format dxfId="768">
      <pivotArea dataOnly="0" labelOnly="1" fieldPosition="0">
        <references count="3">
          <reference field="0" count="1" selected="0">
            <x v="209"/>
          </reference>
          <reference field="1" count="1" selected="0">
            <x v="154"/>
          </reference>
          <reference field="2" count="1">
            <x v="98"/>
          </reference>
        </references>
      </pivotArea>
    </format>
    <format dxfId="767">
      <pivotArea dataOnly="0" labelOnly="1" fieldPosition="0">
        <references count="3">
          <reference field="0" count="1" selected="0">
            <x v="210"/>
          </reference>
          <reference field="1" count="1" selected="0">
            <x v="155"/>
          </reference>
          <reference field="2" count="1">
            <x v="162"/>
          </reference>
        </references>
      </pivotArea>
    </format>
    <format dxfId="766">
      <pivotArea dataOnly="0" labelOnly="1" fieldPosition="0">
        <references count="3">
          <reference field="0" count="1" selected="0">
            <x v="211"/>
          </reference>
          <reference field="1" count="1" selected="0">
            <x v="156"/>
          </reference>
          <reference field="2" count="1">
            <x v="164"/>
          </reference>
        </references>
      </pivotArea>
    </format>
    <format dxfId="765">
      <pivotArea dataOnly="0" labelOnly="1" fieldPosition="0">
        <references count="3">
          <reference field="0" count="1" selected="0">
            <x v="212"/>
          </reference>
          <reference field="1" count="1" selected="0">
            <x v="157"/>
          </reference>
          <reference field="2" count="1">
            <x v="170"/>
          </reference>
        </references>
      </pivotArea>
    </format>
    <format dxfId="764">
      <pivotArea dataOnly="0" labelOnly="1" fieldPosition="0">
        <references count="3">
          <reference field="0" count="1" selected="0">
            <x v="214"/>
          </reference>
          <reference field="1" count="1" selected="0">
            <x v="159"/>
          </reference>
          <reference field="2" count="1">
            <x v="139"/>
          </reference>
        </references>
      </pivotArea>
    </format>
    <format dxfId="763">
      <pivotArea dataOnly="0" labelOnly="1" fieldPosition="0">
        <references count="3">
          <reference field="0" count="1" selected="0">
            <x v="215"/>
          </reference>
          <reference field="1" count="1" selected="0">
            <x v="160"/>
          </reference>
          <reference field="2" count="1">
            <x v="137"/>
          </reference>
        </references>
      </pivotArea>
    </format>
    <format dxfId="762">
      <pivotArea dataOnly="0" labelOnly="1" fieldPosition="0">
        <references count="3">
          <reference field="0" count="1" selected="0">
            <x v="216"/>
          </reference>
          <reference field="1" count="1" selected="0">
            <x v="161"/>
          </reference>
          <reference field="2" count="1">
            <x v="136"/>
          </reference>
        </references>
      </pivotArea>
    </format>
    <format dxfId="761">
      <pivotArea dataOnly="0" labelOnly="1" fieldPosition="0">
        <references count="3">
          <reference field="0" count="1" selected="0">
            <x v="217"/>
          </reference>
          <reference field="1" count="1" selected="0">
            <x v="162"/>
          </reference>
          <reference field="2" count="1">
            <x v="13"/>
          </reference>
        </references>
      </pivotArea>
    </format>
    <format dxfId="760">
      <pivotArea dataOnly="0" labelOnly="1" fieldPosition="0">
        <references count="3">
          <reference field="0" count="1" selected="0">
            <x v="218"/>
          </reference>
          <reference field="1" count="1" selected="0">
            <x v="163"/>
          </reference>
          <reference field="2" count="1">
            <x v="179"/>
          </reference>
        </references>
      </pivotArea>
    </format>
    <format dxfId="759">
      <pivotArea dataOnly="0" labelOnly="1" fieldPosition="0">
        <references count="3">
          <reference field="0" count="1" selected="0">
            <x v="219"/>
          </reference>
          <reference field="1" count="1" selected="0">
            <x v="164"/>
          </reference>
          <reference field="2" count="1">
            <x v="138"/>
          </reference>
        </references>
      </pivotArea>
    </format>
    <format dxfId="758">
      <pivotArea dataOnly="0" labelOnly="1" fieldPosition="0">
        <references count="3">
          <reference field="0" count="1" selected="0">
            <x v="220"/>
          </reference>
          <reference field="1" count="1" selected="0">
            <x v="165"/>
          </reference>
          <reference field="2" count="1">
            <x v="142"/>
          </reference>
        </references>
      </pivotArea>
    </format>
    <format dxfId="757">
      <pivotArea dataOnly="0" labelOnly="1" fieldPosition="0">
        <references count="3">
          <reference field="0" count="1" selected="0">
            <x v="221"/>
          </reference>
          <reference field="1" count="1" selected="0">
            <x v="166"/>
          </reference>
          <reference field="2" count="1">
            <x v="143"/>
          </reference>
        </references>
      </pivotArea>
    </format>
    <format dxfId="756">
      <pivotArea dataOnly="0" labelOnly="1" fieldPosition="0">
        <references count="3">
          <reference field="0" count="1" selected="0">
            <x v="223"/>
          </reference>
          <reference field="1" count="1" selected="0">
            <x v="168"/>
          </reference>
          <reference field="2" count="1">
            <x v="71"/>
          </reference>
        </references>
      </pivotArea>
    </format>
    <format dxfId="755">
      <pivotArea dataOnly="0" labelOnly="1" fieldPosition="0">
        <references count="3">
          <reference field="0" count="1" selected="0">
            <x v="224"/>
          </reference>
          <reference field="1" count="1" selected="0">
            <x v="169"/>
          </reference>
          <reference field="2" count="1">
            <x v="121"/>
          </reference>
        </references>
      </pivotArea>
    </format>
    <format dxfId="754">
      <pivotArea dataOnly="0" labelOnly="1" fieldPosition="0">
        <references count="3">
          <reference field="0" count="1" selected="0">
            <x v="225"/>
          </reference>
          <reference field="1" count="1" selected="0">
            <x v="170"/>
          </reference>
          <reference field="2" count="1">
            <x v="120"/>
          </reference>
        </references>
      </pivotArea>
    </format>
    <format dxfId="753">
      <pivotArea dataOnly="0" labelOnly="1" fieldPosition="0">
        <references count="3">
          <reference field="0" count="1" selected="0">
            <x v="226"/>
          </reference>
          <reference field="1" count="1" selected="0">
            <x v="171"/>
          </reference>
          <reference field="2" count="1">
            <x v="41"/>
          </reference>
        </references>
      </pivotArea>
    </format>
    <format dxfId="752">
      <pivotArea dataOnly="0" labelOnly="1" fieldPosition="0">
        <references count="3">
          <reference field="0" count="1" selected="0">
            <x v="227"/>
          </reference>
          <reference field="1" count="1" selected="0">
            <x v="172"/>
          </reference>
          <reference field="2" count="1">
            <x v="42"/>
          </reference>
        </references>
      </pivotArea>
    </format>
    <format dxfId="751">
      <pivotArea dataOnly="0" labelOnly="1" fieldPosition="0">
        <references count="3">
          <reference field="0" count="1" selected="0">
            <x v="228"/>
          </reference>
          <reference field="1" count="1" selected="0">
            <x v="173"/>
          </reference>
          <reference field="2" count="1">
            <x v="145"/>
          </reference>
        </references>
      </pivotArea>
    </format>
    <format dxfId="750">
      <pivotArea dataOnly="0" labelOnly="1" fieldPosition="0">
        <references count="3">
          <reference field="0" count="1" selected="0">
            <x v="229"/>
          </reference>
          <reference field="1" count="1" selected="0">
            <x v="174"/>
          </reference>
          <reference field="2" count="1">
            <x v="91"/>
          </reference>
        </references>
      </pivotArea>
    </format>
    <format dxfId="749">
      <pivotArea dataOnly="0" labelOnly="1" fieldPosition="0">
        <references count="3">
          <reference field="0" count="1" selected="0">
            <x v="230"/>
          </reference>
          <reference field="1" count="1" selected="0">
            <x v="175"/>
          </reference>
          <reference field="2" count="1">
            <x v="160"/>
          </reference>
        </references>
      </pivotArea>
    </format>
    <format dxfId="748">
      <pivotArea dataOnly="0" labelOnly="1" fieldPosition="0">
        <references count="3">
          <reference field="0" count="1" selected="0">
            <x v="231"/>
          </reference>
          <reference field="1" count="1" selected="0">
            <x v="176"/>
          </reference>
          <reference field="2" count="1">
            <x v="42"/>
          </reference>
        </references>
      </pivotArea>
    </format>
    <format dxfId="747">
      <pivotArea dataOnly="0" labelOnly="1" fieldPosition="0">
        <references count="3">
          <reference field="0" count="1" selected="0">
            <x v="232"/>
          </reference>
          <reference field="1" count="1" selected="0">
            <x v="177"/>
          </reference>
          <reference field="2" count="1">
            <x v="47"/>
          </reference>
        </references>
      </pivotArea>
    </format>
    <format dxfId="746">
      <pivotArea dataOnly="0" labelOnly="1" fieldPosition="0">
        <references count="3">
          <reference field="0" count="1" selected="0">
            <x v="233"/>
          </reference>
          <reference field="1" count="1" selected="0">
            <x v="178"/>
          </reference>
          <reference field="2" count="1">
            <x v="32"/>
          </reference>
        </references>
      </pivotArea>
    </format>
    <format dxfId="745">
      <pivotArea dataOnly="0" labelOnly="1" fieldPosition="0">
        <references count="3">
          <reference field="0" count="1" selected="0">
            <x v="234"/>
          </reference>
          <reference field="1" count="1" selected="0">
            <x v="179"/>
          </reference>
          <reference field="2" count="1">
            <x v="163"/>
          </reference>
        </references>
      </pivotArea>
    </format>
    <format dxfId="744">
      <pivotArea dataOnly="0" labelOnly="1" fieldPosition="0">
        <references count="3">
          <reference field="0" count="1" selected="0">
            <x v="235"/>
          </reference>
          <reference field="1" count="1" selected="0">
            <x v="191"/>
          </reference>
          <reference field="2" count="1">
            <x v="155"/>
          </reference>
        </references>
      </pivotArea>
    </format>
    <format dxfId="743">
      <pivotArea dataOnly="0" labelOnly="1" fieldPosition="0">
        <references count="3">
          <reference field="0" count="1" selected="0">
            <x v="236"/>
          </reference>
          <reference field="1" count="1" selected="0">
            <x v="192"/>
          </reference>
          <reference field="2" count="1">
            <x v="27"/>
          </reference>
        </references>
      </pivotArea>
    </format>
    <format dxfId="742">
      <pivotArea dataOnly="0" labelOnly="1" fieldPosition="0">
        <references count="3">
          <reference field="0" count="1" selected="0">
            <x v="237"/>
          </reference>
          <reference field="1" count="1" selected="0">
            <x v="193"/>
          </reference>
          <reference field="2" count="1">
            <x v="89"/>
          </reference>
        </references>
      </pivotArea>
    </format>
    <format dxfId="741">
      <pivotArea dataOnly="0" labelOnly="1" fieldPosition="0">
        <references count="3">
          <reference field="0" count="1" selected="0">
            <x v="238"/>
          </reference>
          <reference field="1" count="1" selected="0">
            <x v="194"/>
          </reference>
          <reference field="2" count="1">
            <x v="25"/>
          </reference>
        </references>
      </pivotArea>
    </format>
    <format dxfId="740">
      <pivotArea dataOnly="0" labelOnly="1" fieldPosition="0">
        <references count="3">
          <reference field="0" count="1" selected="0">
            <x v="239"/>
          </reference>
          <reference field="1" count="1" selected="0">
            <x v="195"/>
          </reference>
          <reference field="2" count="1">
            <x v="28"/>
          </reference>
        </references>
      </pivotArea>
    </format>
    <format dxfId="739">
      <pivotArea dataOnly="0" labelOnly="1" fieldPosition="0">
        <references count="3">
          <reference field="0" count="1" selected="0">
            <x v="240"/>
          </reference>
          <reference field="1" count="1" selected="0">
            <x v="196"/>
          </reference>
          <reference field="2" count="1">
            <x v="40"/>
          </reference>
        </references>
      </pivotArea>
    </format>
    <format dxfId="738">
      <pivotArea dataOnly="0" labelOnly="1" fieldPosition="0">
        <references count="3">
          <reference field="0" count="1" selected="0">
            <x v="241"/>
          </reference>
          <reference field="1" count="1" selected="0">
            <x v="197"/>
          </reference>
          <reference field="2" count="1">
            <x v="195"/>
          </reference>
        </references>
      </pivotArea>
    </format>
    <format dxfId="737">
      <pivotArea dataOnly="0" labelOnly="1" fieldPosition="0">
        <references count="3">
          <reference field="0" count="1" selected="0">
            <x v="242"/>
          </reference>
          <reference field="1" count="1" selected="0">
            <x v="198"/>
          </reference>
          <reference field="2" count="1">
            <x v="132"/>
          </reference>
        </references>
      </pivotArea>
    </format>
    <format dxfId="73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35">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3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33">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3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3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3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29">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28">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27">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2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2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24">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23">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22">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2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2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19">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18">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17">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1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1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14">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13">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0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0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0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04">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03">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02">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0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0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69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69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69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69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69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694">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693">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69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69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69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689">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688">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687">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68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68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68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683">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68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68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68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679">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67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677">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67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67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67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673">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672">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67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67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669">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668">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667">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66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66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664">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663">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66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66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66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59">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58">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57">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5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5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54">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53">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52">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5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5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49">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48">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47">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4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4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44">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4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42">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4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4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39">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3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37">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3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3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34">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33">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32">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3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3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29">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2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27">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2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2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24">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23">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22">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2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2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19">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18">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17">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1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1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14">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13">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12">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1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1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09">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0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07">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0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0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0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03">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02">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0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0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599">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59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59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59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59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594">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593">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5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59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59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589">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588">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58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58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58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584">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58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582">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58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58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579">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578">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577">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57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57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574">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573">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572">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57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57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569">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568">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56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56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56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564">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56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562">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56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56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5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58">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57">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5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5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54">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53">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52">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5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5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4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48">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47">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4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4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4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43">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42">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4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4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39">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38">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37">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3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3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534">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533">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532">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3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3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529">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528">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527">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52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2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524">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23">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22">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52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52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19">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518">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517">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51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51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514">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13">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1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51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51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509">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08">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507">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0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504">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503">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02">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0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499">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498">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497">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49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49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494">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493">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492">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49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49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489">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488">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487">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48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48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484">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483">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482">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48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48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479">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478">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477">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47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47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474">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473">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472">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47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47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9">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8">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7">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46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46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46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46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2">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46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46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459">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458">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457">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45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45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454">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453">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5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45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45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44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44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47">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44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44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444">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443">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442">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4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44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439">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43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437">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43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43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434">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433">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32">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43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43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429">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428">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27">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42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2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24">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23">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22">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2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42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19">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41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17">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1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1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14">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13">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12">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1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1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0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8">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07">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0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40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40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40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402">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0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40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99">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98">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397">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39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39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394">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39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392">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39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39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389">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388">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387">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38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38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384">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38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38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38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38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37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37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37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37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37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37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37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372">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7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37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369">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368">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367">
      <pivotArea dataOnly="0" labelOnly="1" outline="0" fieldPosition="0">
        <references count="1">
          <reference field="3" count="0"/>
        </references>
      </pivotArea>
    </format>
    <format dxfId="36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365">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364">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36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36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36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36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5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5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5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5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55">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54">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5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5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5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49">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48">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4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4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45">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44">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43">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4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4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40">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39">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3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3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3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35">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34">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33">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3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3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30">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29">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28">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2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2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25">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24">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2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2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2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20">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19">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18">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1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1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1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14">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13">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1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1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10">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0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08">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0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0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05">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04">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03">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0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0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00">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99">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98">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9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9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95">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94">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9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9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9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9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89">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88">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8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8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85">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84">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83">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8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8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80">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79">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78">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7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7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75">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7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73">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7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7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70">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69">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68">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6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6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65">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64">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63">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6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6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60">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59">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58">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5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5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55">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54">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5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5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5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5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4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5">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4">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3">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0">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3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38">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3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3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35">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34">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3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3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3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30">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29">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28">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2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2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25">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24">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23">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2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2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20">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19">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5">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4">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3">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0">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0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08">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0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0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05">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04">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0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0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0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00">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99">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98">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9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9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95">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94">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93">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9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9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90">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89">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88">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8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8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85">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84">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83">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8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8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80">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79">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78">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7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7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7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74">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73">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7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7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70">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69">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68">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6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6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65">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6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6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6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6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60">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59">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58">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5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5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55">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54">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5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5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5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5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49">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48">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4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5">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4">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43">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4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4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40">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9">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8">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5">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0">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29">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28">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2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24">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23">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2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2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20">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19">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18">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1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1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1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14">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13">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1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10">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09">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08">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0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0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0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0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0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0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0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0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9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98">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9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9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95">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94">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93">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9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9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90">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89">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88">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8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8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85">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84">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83">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8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8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80">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79">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78">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7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7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75">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74">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73">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7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7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70">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6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68">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6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6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6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64">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63">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6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6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60">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59">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58">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5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5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55">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54">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53">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5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5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5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3">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39">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38">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3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3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35">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34">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33">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3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0">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9">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8">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0">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9">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5">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4">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3">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0">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9">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8">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5">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0">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68" headerRowCount="0" totalsRowShown="0" headerRowDxfId="2429" dataDxfId="2428">
  <tableColumns count="19">
    <tableColumn id="1" xr3:uid="{00000000-0010-0000-0000-000001000000}" name="Column1" headerRowDxfId="2427" dataDxfId="2426"/>
    <tableColumn id="2" xr3:uid="{00000000-0010-0000-0000-000002000000}" name="Column2" headerRowDxfId="2425" dataDxfId="2424"/>
    <tableColumn id="3" xr3:uid="{00000000-0010-0000-0000-000003000000}" name="Column3" headerRowDxfId="2423" dataDxfId="2422">
      <calculatedColumnFormula>VLOOKUP(B2,HECVAT!A:E,2,FALSE)</calculatedColumnFormula>
    </tableColumn>
    <tableColumn id="4" xr3:uid="{00000000-0010-0000-0000-000004000000}" name="Column4" headerRowDxfId="2421" dataDxfId="2420">
      <calculatedColumnFormula>VLOOKUP(B2,HECVAT!A:E,4,FALSE)</calculatedColumnFormula>
    </tableColumn>
    <tableColumn id="5" xr3:uid="{00000000-0010-0000-0000-000005000000}" name="Column5" headerRowDxfId="2419" dataDxfId="2418"/>
    <tableColumn id="6" xr3:uid="{00000000-0010-0000-0000-000006000000}" name="Column6" headerRowDxfId="2417" dataDxfId="2416"/>
    <tableColumn id="7" xr3:uid="{00000000-0010-0000-0000-000007000000}" name="Column7" headerRowDxfId="2415" dataDxfId="2414"/>
    <tableColumn id="8" xr3:uid="{00000000-0010-0000-0000-000008000000}" name="Column8" headerRowDxfId="2413" dataDxfId="2412"/>
    <tableColumn id="9" xr3:uid="{00000000-0010-0000-0000-000009000000}" name="Column9" headerRowDxfId="2411" dataDxfId="2410">
      <calculatedColumnFormula>VLOOKUP(B2,HECVAT!A:E,3,FALSE)</calculatedColumnFormula>
    </tableColumn>
    <tableColumn id="10" xr3:uid="{00000000-0010-0000-0000-00000A000000}" name="Column10" headerRowDxfId="2409" dataDxfId="2408"/>
    <tableColumn id="11" xr3:uid="{00000000-0010-0000-0000-00000B000000}" name="Column11" headerRowDxfId="2407" dataDxfId="2406"/>
    <tableColumn id="12" xr3:uid="{00000000-0010-0000-0000-00000C000000}" name="Column12" headerRowDxfId="2405" dataDxfId="2404">
      <calculatedColumnFormula>J2*K2</calculatedColumnFormula>
    </tableColumn>
    <tableColumn id="13" xr3:uid="{00000000-0010-0000-0000-00000D000000}" name="Column13" headerRowDxfId="2403" dataDxfId="2402">
      <calculatedColumnFormula>VLOOKUP($B2,'Standards Crosswalk'!$A:$H,3,FALSE)</calculatedColumnFormula>
    </tableColumn>
    <tableColumn id="14" xr3:uid="{00000000-0010-0000-0000-00000E000000}" name="Column14" headerRowDxfId="2401" dataDxfId="2400">
      <calculatedColumnFormula>VLOOKUP($B2,'Standards Crosswalk'!$A:$H,4,FALSE)</calculatedColumnFormula>
    </tableColumn>
    <tableColumn id="15" xr3:uid="{00000000-0010-0000-0000-00000F000000}" name="Column15" headerRowDxfId="2399" dataDxfId="2398">
      <calculatedColumnFormula>VLOOKUP($B2,'Standards Crosswalk'!$A:$H,5,FALSE)</calculatedColumnFormula>
    </tableColumn>
    <tableColumn id="16" xr3:uid="{00000000-0010-0000-0000-000010000000}" name="Column16" headerRowDxfId="2397" dataDxfId="2396">
      <calculatedColumnFormula>VLOOKUP($B2,'Standards Crosswalk'!$A:$H,6,FALSE)</calculatedColumnFormula>
    </tableColumn>
    <tableColumn id="17" xr3:uid="{00000000-0010-0000-0000-000011000000}" name="Column17" headerRowDxfId="2395" dataDxfId="2394">
      <calculatedColumnFormula>VLOOKUP($B2,'Standards Crosswalk'!$A:$H,7,FALSE)</calculatedColumnFormula>
    </tableColumn>
    <tableColumn id="18" xr3:uid="{00000000-0010-0000-0000-000012000000}" name="Column18" headerRowDxfId="2393" dataDxfId="2392">
      <calculatedColumnFormula>VLOOKUP($B2,'Standards Crosswalk'!$A:$H,8,FALSE)</calculatedColumnFormula>
    </tableColumn>
    <tableColumn id="25" xr3:uid="{00000000-0010-0000-0000-000019000000}" name="Column25" headerRowDxfId="2391" dataDxfId="239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IS@utrgv.edu"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100" sqref="A100"/>
    </sheetView>
  </sheetViews>
  <sheetFormatPr defaultColWidth="6.59765625" defaultRowHeight="12.75" x14ac:dyDescent="0.2"/>
  <cols>
    <col min="1" max="1" width="31.59765625" style="202" customWidth="1"/>
    <col min="2" max="2" width="45" style="202" customWidth="1"/>
    <col min="3" max="16384" width="6.59765625" style="202"/>
  </cols>
  <sheetData>
    <row r="1" spans="1:2" ht="42" customHeight="1" x14ac:dyDescent="0.2">
      <c r="A1" s="244"/>
      <c r="B1" s="245"/>
    </row>
    <row r="2" spans="1:2" x14ac:dyDescent="0.2">
      <c r="A2" s="203"/>
      <c r="B2" s="204"/>
    </row>
    <row r="3" spans="1:2" x14ac:dyDescent="0.2">
      <c r="A3" s="203"/>
      <c r="B3" s="204"/>
    </row>
    <row r="4" spans="1:2" x14ac:dyDescent="0.2">
      <c r="A4" s="203"/>
      <c r="B4" s="204"/>
    </row>
    <row r="5" spans="1:2" x14ac:dyDescent="0.2">
      <c r="A5" s="203"/>
      <c r="B5" s="204"/>
    </row>
    <row r="6" spans="1:2" x14ac:dyDescent="0.2">
      <c r="A6" s="203"/>
      <c r="B6" s="204"/>
    </row>
    <row r="7" spans="1:2" x14ac:dyDescent="0.2">
      <c r="A7" s="203"/>
      <c r="B7" s="204"/>
    </row>
    <row r="8" spans="1:2" x14ac:dyDescent="0.2">
      <c r="A8" s="203"/>
      <c r="B8" s="204"/>
    </row>
    <row r="9" spans="1:2" x14ac:dyDescent="0.2">
      <c r="A9" s="203"/>
      <c r="B9" s="204"/>
    </row>
    <row r="10" spans="1:2" x14ac:dyDescent="0.2">
      <c r="A10" s="203"/>
      <c r="B10" s="204"/>
    </row>
    <row r="11" spans="1:2" x14ac:dyDescent="0.2">
      <c r="A11" s="203"/>
      <c r="B11" s="204"/>
    </row>
    <row r="12" spans="1:2" x14ac:dyDescent="0.2">
      <c r="A12" s="203"/>
      <c r="B12" s="204"/>
    </row>
    <row r="13" spans="1:2" x14ac:dyDescent="0.2">
      <c r="A13" s="203"/>
      <c r="B13" s="204"/>
    </row>
    <row r="14" spans="1:2" x14ac:dyDescent="0.2">
      <c r="A14" s="203"/>
      <c r="B14" s="204"/>
    </row>
    <row r="15" spans="1:2" x14ac:dyDescent="0.2">
      <c r="A15" s="203"/>
      <c r="B15" s="204"/>
    </row>
    <row r="16" spans="1:2" x14ac:dyDescent="0.2">
      <c r="A16" s="203"/>
      <c r="B16" s="204"/>
    </row>
    <row r="17" spans="1:2" x14ac:dyDescent="0.2">
      <c r="A17" s="203"/>
      <c r="B17" s="204"/>
    </row>
    <row r="18" spans="1:2" x14ac:dyDescent="0.2">
      <c r="A18" s="203"/>
      <c r="B18" s="204"/>
    </row>
    <row r="19" spans="1:2" x14ac:dyDescent="0.2">
      <c r="A19" s="203"/>
      <c r="B19" s="204"/>
    </row>
    <row r="20" spans="1:2" x14ac:dyDescent="0.2">
      <c r="A20" s="203"/>
      <c r="B20" s="204"/>
    </row>
    <row r="21" spans="1:2" x14ac:dyDescent="0.2">
      <c r="A21" s="203"/>
      <c r="B21" s="204"/>
    </row>
    <row r="22" spans="1:2" x14ac:dyDescent="0.2">
      <c r="A22" s="203"/>
      <c r="B22" s="204"/>
    </row>
    <row r="23" spans="1:2" x14ac:dyDescent="0.2">
      <c r="A23" s="203"/>
      <c r="B23" s="204"/>
    </row>
    <row r="24" spans="1:2" x14ac:dyDescent="0.2">
      <c r="A24" s="203"/>
      <c r="B24" s="204"/>
    </row>
    <row r="25" spans="1:2" x14ac:dyDescent="0.2">
      <c r="A25" s="203"/>
      <c r="B25" s="204"/>
    </row>
    <row r="26" spans="1:2" x14ac:dyDescent="0.2">
      <c r="A26" s="203"/>
      <c r="B26" s="204"/>
    </row>
    <row r="27" spans="1:2" x14ac:dyDescent="0.2">
      <c r="A27" s="203"/>
      <c r="B27" s="204"/>
    </row>
    <row r="28" spans="1:2" x14ac:dyDescent="0.2">
      <c r="A28" s="203"/>
      <c r="B28" s="204"/>
    </row>
    <row r="29" spans="1:2" x14ac:dyDescent="0.2">
      <c r="A29" s="203"/>
      <c r="B29" s="204"/>
    </row>
    <row r="30" spans="1:2" x14ac:dyDescent="0.2">
      <c r="A30" s="203"/>
      <c r="B30" s="204"/>
    </row>
    <row r="31" spans="1:2" x14ac:dyDescent="0.2">
      <c r="A31" s="203"/>
      <c r="B31" s="204"/>
    </row>
    <row r="32" spans="1:2" x14ac:dyDescent="0.2">
      <c r="A32" s="203"/>
      <c r="B32" s="204"/>
    </row>
    <row r="33" spans="1:2" x14ac:dyDescent="0.2">
      <c r="A33" s="203"/>
      <c r="B33" s="204"/>
    </row>
    <row r="34" spans="1:2" x14ac:dyDescent="0.2">
      <c r="A34" s="203"/>
      <c r="B34" s="204"/>
    </row>
    <row r="35" spans="1:2" x14ac:dyDescent="0.2">
      <c r="A35" s="203"/>
      <c r="B35" s="204"/>
    </row>
    <row r="36" spans="1:2" x14ac:dyDescent="0.2">
      <c r="A36" s="203"/>
      <c r="B36" s="204"/>
    </row>
    <row r="37" spans="1:2" x14ac:dyDescent="0.2">
      <c r="A37" s="203"/>
      <c r="B37" s="204"/>
    </row>
    <row r="38" spans="1:2" x14ac:dyDescent="0.2">
      <c r="A38" s="203"/>
      <c r="B38" s="204"/>
    </row>
    <row r="39" spans="1:2" x14ac:dyDescent="0.2">
      <c r="A39" s="203"/>
      <c r="B39" s="204"/>
    </row>
    <row r="40" spans="1:2" x14ac:dyDescent="0.2">
      <c r="A40" s="203"/>
      <c r="B40" s="204"/>
    </row>
    <row r="41" spans="1:2" x14ac:dyDescent="0.2">
      <c r="A41" s="203"/>
      <c r="B41" s="204"/>
    </row>
    <row r="42" spans="1:2" x14ac:dyDescent="0.2">
      <c r="A42" s="203"/>
      <c r="B42" s="204"/>
    </row>
    <row r="43" spans="1:2" x14ac:dyDescent="0.2">
      <c r="A43" s="203"/>
      <c r="B43" s="204"/>
    </row>
    <row r="44" spans="1:2" x14ac:dyDescent="0.2">
      <c r="A44" s="203"/>
      <c r="B44" s="204"/>
    </row>
    <row r="45" spans="1:2" x14ac:dyDescent="0.2">
      <c r="A45" s="203"/>
      <c r="B45" s="204"/>
    </row>
    <row r="46" spans="1:2" x14ac:dyDescent="0.2">
      <c r="A46" s="203"/>
      <c r="B46" s="204"/>
    </row>
    <row r="47" spans="1:2" x14ac:dyDescent="0.2">
      <c r="A47" s="203"/>
      <c r="B47" s="204"/>
    </row>
    <row r="48" spans="1:2" x14ac:dyDescent="0.2">
      <c r="A48" s="203"/>
      <c r="B48" s="204"/>
    </row>
    <row r="49" spans="1:2" x14ac:dyDescent="0.2">
      <c r="A49" s="203"/>
      <c r="B49" s="204"/>
    </row>
    <row r="50" spans="1:2" x14ac:dyDescent="0.2">
      <c r="A50" s="203"/>
      <c r="B50" s="204"/>
    </row>
    <row r="51" spans="1:2" x14ac:dyDescent="0.2">
      <c r="A51" s="203"/>
      <c r="B51" s="204"/>
    </row>
    <row r="52" spans="1:2" x14ac:dyDescent="0.2">
      <c r="A52" s="203"/>
      <c r="B52" s="204"/>
    </row>
    <row r="53" spans="1:2" x14ac:dyDescent="0.2">
      <c r="A53" s="203"/>
      <c r="B53" s="204"/>
    </row>
    <row r="54" spans="1:2" x14ac:dyDescent="0.2">
      <c r="A54" s="205"/>
      <c r="B54" s="206"/>
    </row>
    <row r="55" spans="1:2" ht="36" customHeight="1" x14ac:dyDescent="0.2">
      <c r="A55" s="246" t="s">
        <v>2656</v>
      </c>
      <c r="B55" s="246"/>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
  <sheetViews>
    <sheetView showGridLines="0" workbookViewId="0">
      <selection activeCell="A100" sqref="A100"/>
    </sheetView>
  </sheetViews>
  <sheetFormatPr defaultColWidth="6.59765625" defaultRowHeight="12.75" x14ac:dyDescent="0.2"/>
  <cols>
    <col min="1" max="16384" width="6.59765625" style="16"/>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Z27"/>
  <sheetViews>
    <sheetView topLeftCell="A13" workbookViewId="0">
      <selection activeCell="C26" sqref="C26"/>
    </sheetView>
  </sheetViews>
  <sheetFormatPr defaultColWidth="10.59765625" defaultRowHeight="15" x14ac:dyDescent="0.2"/>
  <cols>
    <col min="2" max="2" width="10.59765625" style="221"/>
    <col min="3" max="3" width="93.19921875" customWidth="1"/>
  </cols>
  <sheetData>
    <row r="1" spans="1:26" s="138" customFormat="1" ht="36" customHeight="1" x14ac:dyDescent="0.2">
      <c r="A1" s="316" t="s">
        <v>2685</v>
      </c>
      <c r="B1" s="317"/>
      <c r="C1" s="318"/>
      <c r="D1" s="213"/>
      <c r="E1" s="213"/>
      <c r="F1" s="213"/>
      <c r="G1" s="213"/>
      <c r="H1" s="213"/>
      <c r="I1" s="214"/>
      <c r="J1" s="215"/>
      <c r="K1" s="215"/>
      <c r="L1" s="215"/>
      <c r="M1" s="215"/>
      <c r="N1" s="215"/>
      <c r="O1" s="215"/>
      <c r="P1" s="215"/>
      <c r="Q1" s="215"/>
      <c r="R1" s="215"/>
      <c r="S1" s="215"/>
      <c r="T1" s="215"/>
      <c r="U1" s="215"/>
      <c r="V1" s="215"/>
      <c r="W1" s="215"/>
      <c r="X1" s="215"/>
      <c r="Y1" s="215"/>
      <c r="Z1" s="215"/>
    </row>
    <row r="2" spans="1:26" s="138" customFormat="1" ht="25.5" customHeight="1" x14ac:dyDescent="0.2">
      <c r="A2" s="319" t="s">
        <v>97</v>
      </c>
      <c r="B2" s="320"/>
      <c r="C2" s="321"/>
      <c r="D2" s="216"/>
      <c r="E2" s="216"/>
      <c r="F2" s="216"/>
      <c r="G2" s="216"/>
      <c r="H2" s="216"/>
      <c r="I2" s="214"/>
      <c r="J2" s="215"/>
      <c r="K2" s="215"/>
      <c r="L2" s="215"/>
      <c r="M2" s="215"/>
      <c r="N2" s="215"/>
      <c r="O2" s="215"/>
      <c r="P2" s="215"/>
      <c r="Q2" s="215"/>
      <c r="R2" s="215"/>
      <c r="S2" s="215"/>
      <c r="T2" s="215"/>
      <c r="U2" s="215"/>
      <c r="V2" s="215"/>
      <c r="W2" s="215"/>
      <c r="X2" s="215"/>
      <c r="Y2" s="215"/>
      <c r="Z2" s="215"/>
    </row>
    <row r="3" spans="1:26" s="17" customFormat="1" ht="24" customHeight="1" x14ac:dyDescent="0.2">
      <c r="A3" s="217" t="s">
        <v>149</v>
      </c>
      <c r="B3" s="217" t="s">
        <v>0</v>
      </c>
      <c r="C3" s="217" t="s">
        <v>150</v>
      </c>
      <c r="D3" s="218"/>
      <c r="E3" s="218"/>
      <c r="F3" s="218"/>
      <c r="G3" s="218"/>
      <c r="H3" s="218"/>
      <c r="I3" s="218"/>
      <c r="J3" s="218"/>
      <c r="K3" s="218"/>
      <c r="L3" s="218"/>
      <c r="M3" s="218"/>
      <c r="N3" s="218"/>
      <c r="O3" s="218"/>
      <c r="P3" s="218"/>
      <c r="Q3" s="218"/>
      <c r="R3" s="218"/>
      <c r="S3" s="218"/>
      <c r="T3" s="218"/>
      <c r="U3" s="218"/>
      <c r="V3" s="218"/>
      <c r="W3" s="218"/>
      <c r="X3" s="218"/>
      <c r="Y3" s="218"/>
      <c r="Z3" s="218"/>
    </row>
    <row r="4" spans="1:26" x14ac:dyDescent="0.2">
      <c r="A4" s="219" t="s">
        <v>151</v>
      </c>
      <c r="B4" s="220">
        <v>42586</v>
      </c>
      <c r="C4" s="219" t="s">
        <v>490</v>
      </c>
    </row>
    <row r="5" spans="1:26" ht="30" x14ac:dyDescent="0.2">
      <c r="A5" s="219" t="s">
        <v>163</v>
      </c>
      <c r="B5" s="220">
        <v>42596</v>
      </c>
      <c r="C5" s="219" t="s">
        <v>164</v>
      </c>
    </row>
    <row r="6" spans="1:26" x14ac:dyDescent="0.2">
      <c r="A6" s="219" t="s">
        <v>165</v>
      </c>
      <c r="B6" s="220">
        <v>42597</v>
      </c>
      <c r="C6" s="219" t="s">
        <v>491</v>
      </c>
    </row>
    <row r="7" spans="1:26" ht="30" x14ac:dyDescent="0.2">
      <c r="A7" s="219" t="s">
        <v>169</v>
      </c>
      <c r="B7" s="220">
        <v>42598</v>
      </c>
      <c r="C7" s="219" t="s">
        <v>492</v>
      </c>
    </row>
    <row r="8" spans="1:26" ht="30" x14ac:dyDescent="0.2">
      <c r="A8" s="219" t="s">
        <v>434</v>
      </c>
      <c r="B8" s="220">
        <v>42606</v>
      </c>
      <c r="C8" s="219" t="s">
        <v>493</v>
      </c>
    </row>
    <row r="9" spans="1:26" ht="30" x14ac:dyDescent="0.2">
      <c r="A9" s="219" t="s">
        <v>435</v>
      </c>
      <c r="B9" s="220">
        <v>42607</v>
      </c>
      <c r="C9" s="219" t="s">
        <v>494</v>
      </c>
    </row>
    <row r="10" spans="1:26" x14ac:dyDescent="0.2">
      <c r="A10" s="219" t="s">
        <v>459</v>
      </c>
      <c r="B10" s="220">
        <v>42608</v>
      </c>
      <c r="C10" s="219" t="s">
        <v>495</v>
      </c>
    </row>
    <row r="11" spans="1:26" x14ac:dyDescent="0.2">
      <c r="A11" s="219" t="s">
        <v>471</v>
      </c>
      <c r="B11" s="220">
        <v>42608</v>
      </c>
      <c r="C11" s="219" t="s">
        <v>472</v>
      </c>
    </row>
    <row r="12" spans="1:26" x14ac:dyDescent="0.2">
      <c r="A12" s="219" t="s">
        <v>474</v>
      </c>
      <c r="B12" s="220">
        <v>42634</v>
      </c>
      <c r="C12" s="219" t="s">
        <v>475</v>
      </c>
    </row>
    <row r="13" spans="1:26" x14ac:dyDescent="0.2">
      <c r="A13" s="219" t="s">
        <v>478</v>
      </c>
      <c r="B13" s="220">
        <v>42636</v>
      </c>
      <c r="C13" s="219" t="s">
        <v>489</v>
      </c>
    </row>
    <row r="14" spans="1:26" x14ac:dyDescent="0.2">
      <c r="A14" s="219" t="s">
        <v>487</v>
      </c>
      <c r="B14" s="220">
        <v>42639</v>
      </c>
      <c r="C14" s="219" t="s">
        <v>488</v>
      </c>
    </row>
    <row r="15" spans="1:26" ht="30" x14ac:dyDescent="0.2">
      <c r="A15" s="219" t="s">
        <v>502</v>
      </c>
      <c r="B15" s="220">
        <v>42649</v>
      </c>
      <c r="C15" s="219" t="s">
        <v>524</v>
      </c>
    </row>
    <row r="16" spans="1:26" x14ac:dyDescent="0.2">
      <c r="A16" s="219" t="s">
        <v>503</v>
      </c>
      <c r="B16" s="220">
        <v>42660</v>
      </c>
      <c r="C16" s="219" t="s">
        <v>525</v>
      </c>
    </row>
    <row r="17" spans="1:3" x14ac:dyDescent="0.2">
      <c r="A17" s="219" t="s">
        <v>504</v>
      </c>
      <c r="B17" s="220">
        <v>42690</v>
      </c>
      <c r="C17" s="219" t="s">
        <v>505</v>
      </c>
    </row>
    <row r="18" spans="1:3" x14ac:dyDescent="0.2">
      <c r="A18" s="219" t="s">
        <v>511</v>
      </c>
      <c r="B18" s="220">
        <v>42695</v>
      </c>
      <c r="C18" s="219" t="s">
        <v>526</v>
      </c>
    </row>
    <row r="19" spans="1:3" x14ac:dyDescent="0.2">
      <c r="A19" s="219" t="s">
        <v>522</v>
      </c>
      <c r="B19" s="220">
        <v>42697</v>
      </c>
      <c r="C19" s="219" t="s">
        <v>523</v>
      </c>
    </row>
    <row r="20" spans="1:3" x14ac:dyDescent="0.2">
      <c r="A20" s="219" t="s">
        <v>545</v>
      </c>
      <c r="B20" s="220">
        <v>42847</v>
      </c>
      <c r="C20" s="219" t="s">
        <v>546</v>
      </c>
    </row>
    <row r="21" spans="1:3" x14ac:dyDescent="0.2">
      <c r="A21" s="219" t="s">
        <v>547</v>
      </c>
      <c r="B21" s="220">
        <v>42853</v>
      </c>
      <c r="C21" s="219" t="s">
        <v>548</v>
      </c>
    </row>
    <row r="22" spans="1:3" x14ac:dyDescent="0.2">
      <c r="A22" s="219" t="s">
        <v>907</v>
      </c>
      <c r="B22" s="220">
        <v>43032</v>
      </c>
      <c r="C22" s="219" t="s">
        <v>908</v>
      </c>
    </row>
    <row r="23" spans="1:3" x14ac:dyDescent="0.2">
      <c r="A23" s="149" t="s">
        <v>2663</v>
      </c>
      <c r="B23" s="220">
        <v>43386</v>
      </c>
      <c r="C23" s="149" t="s">
        <v>2687</v>
      </c>
    </row>
    <row r="24" spans="1:3" x14ac:dyDescent="0.2">
      <c r="A24" s="149" t="s">
        <v>2724</v>
      </c>
      <c r="B24" s="220">
        <v>43405</v>
      </c>
      <c r="C24" s="149" t="s">
        <v>2725</v>
      </c>
    </row>
    <row r="25" spans="1:3" ht="30" x14ac:dyDescent="0.2">
      <c r="A25" s="149" t="s">
        <v>2726</v>
      </c>
      <c r="B25" s="220">
        <v>43490</v>
      </c>
      <c r="C25" s="149" t="s">
        <v>2727</v>
      </c>
    </row>
    <row r="26" spans="1:3" ht="60" x14ac:dyDescent="0.2">
      <c r="A26" s="149" t="s">
        <v>2728</v>
      </c>
      <c r="B26" s="220">
        <v>43543</v>
      </c>
      <c r="C26" s="219" t="s">
        <v>2729</v>
      </c>
    </row>
    <row r="27" spans="1:3" x14ac:dyDescent="0.2">
      <c r="A27" s="138" t="s">
        <v>2730</v>
      </c>
      <c r="B27" s="243">
        <v>43584</v>
      </c>
      <c r="C27" s="138" t="s">
        <v>2731</v>
      </c>
    </row>
  </sheetData>
  <mergeCells count="2">
    <mergeCell ref="A1:C1"/>
    <mergeCell ref="A2:C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0070C0"/>
  </sheetPr>
  <dimension ref="A1:A38"/>
  <sheetViews>
    <sheetView workbookViewId="0">
      <selection activeCell="A4" sqref="A4"/>
    </sheetView>
  </sheetViews>
  <sheetFormatPr defaultColWidth="11.19921875" defaultRowHeight="15" x14ac:dyDescent="0.2"/>
  <cols>
    <col min="1" max="1" width="37" customWidth="1"/>
  </cols>
  <sheetData>
    <row r="1" spans="1:1" x14ac:dyDescent="0.2">
      <c r="A1" s="2" t="s">
        <v>82</v>
      </c>
    </row>
    <row r="3" spans="1:1" x14ac:dyDescent="0.2">
      <c r="A3" s="2" t="s">
        <v>83</v>
      </c>
    </row>
    <row r="4" spans="1:1" x14ac:dyDescent="0.2">
      <c r="A4" t="s">
        <v>17</v>
      </c>
    </row>
    <row r="5" spans="1:1" x14ac:dyDescent="0.2">
      <c r="A5" t="s">
        <v>21</v>
      </c>
    </row>
    <row r="6" spans="1:1" x14ac:dyDescent="0.2">
      <c r="A6" t="s">
        <v>84</v>
      </c>
    </row>
    <row r="8" spans="1:1" x14ac:dyDescent="0.2">
      <c r="A8" s="2" t="s">
        <v>85</v>
      </c>
    </row>
    <row r="9" spans="1:1" x14ac:dyDescent="0.2">
      <c r="A9" t="s">
        <v>86</v>
      </c>
    </row>
    <row r="10" spans="1:1" x14ac:dyDescent="0.2">
      <c r="A10" t="s">
        <v>87</v>
      </c>
    </row>
    <row r="11" spans="1:1" x14ac:dyDescent="0.2">
      <c r="A11" t="s">
        <v>88</v>
      </c>
    </row>
    <row r="12" spans="1:1" x14ac:dyDescent="0.2">
      <c r="A12" t="s">
        <v>31</v>
      </c>
    </row>
    <row r="14" spans="1:1" x14ac:dyDescent="0.2">
      <c r="A14" s="2" t="s">
        <v>89</v>
      </c>
    </row>
    <row r="15" spans="1:1" x14ac:dyDescent="0.2">
      <c r="A15" t="s">
        <v>90</v>
      </c>
    </row>
    <row r="16" spans="1:1" x14ac:dyDescent="0.2">
      <c r="A16" t="s">
        <v>91</v>
      </c>
    </row>
    <row r="17" spans="1:1" x14ac:dyDescent="0.2">
      <c r="A17" t="s">
        <v>92</v>
      </c>
    </row>
    <row r="18" spans="1:1" x14ac:dyDescent="0.2">
      <c r="A18" t="s">
        <v>93</v>
      </c>
    </row>
    <row r="19" spans="1:1" x14ac:dyDescent="0.2">
      <c r="A19" t="s">
        <v>31</v>
      </c>
    </row>
    <row r="21" spans="1:1" x14ac:dyDescent="0.2">
      <c r="A21" s="2" t="s">
        <v>116</v>
      </c>
    </row>
    <row r="22" spans="1:1" x14ac:dyDescent="0.2">
      <c r="A22" t="s">
        <v>117</v>
      </c>
    </row>
    <row r="23" spans="1:1" x14ac:dyDescent="0.2">
      <c r="A23" t="s">
        <v>118</v>
      </c>
    </row>
    <row r="25" spans="1:1" x14ac:dyDescent="0.2">
      <c r="A25" s="2" t="s">
        <v>496</v>
      </c>
    </row>
    <row r="26" spans="1:1" x14ac:dyDescent="0.2">
      <c r="A26" t="s">
        <v>497</v>
      </c>
    </row>
    <row r="27" spans="1:1" x14ac:dyDescent="0.2">
      <c r="A27" t="s">
        <v>498</v>
      </c>
    </row>
    <row r="29" spans="1:1" x14ac:dyDescent="0.2">
      <c r="A29" s="2" t="s">
        <v>499</v>
      </c>
    </row>
    <row r="30" spans="1:1" x14ac:dyDescent="0.2">
      <c r="A30" t="s">
        <v>500</v>
      </c>
    </row>
    <row r="31" spans="1:1" x14ac:dyDescent="0.2">
      <c r="A31" t="s">
        <v>501</v>
      </c>
    </row>
    <row r="33" spans="1:1" x14ac:dyDescent="0.2">
      <c r="A33" s="2" t="s">
        <v>506</v>
      </c>
    </row>
    <row r="34" spans="1:1" x14ac:dyDescent="0.2">
      <c r="A34" t="s">
        <v>507</v>
      </c>
    </row>
    <row r="35" spans="1:1" x14ac:dyDescent="0.2">
      <c r="A35" t="s">
        <v>508</v>
      </c>
    </row>
    <row r="36" spans="1:1" x14ac:dyDescent="0.2">
      <c r="A36" t="s">
        <v>509</v>
      </c>
    </row>
    <row r="37" spans="1:1" x14ac:dyDescent="0.2">
      <c r="A37" t="s">
        <v>510</v>
      </c>
    </row>
    <row r="38" spans="1:1" x14ac:dyDescent="0.2">
      <c r="A38" t="s">
        <v>84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zoomScaleNormal="100" workbookViewId="0">
      <selection activeCell="A27" sqref="A27:B27"/>
    </sheetView>
  </sheetViews>
  <sheetFormatPr defaultColWidth="10.59765625" defaultRowHeight="15" x14ac:dyDescent="0.2"/>
  <cols>
    <col min="1" max="1" width="18.3984375" customWidth="1"/>
    <col min="2" max="2" width="76.59765625" customWidth="1"/>
  </cols>
  <sheetData>
    <row r="1" spans="1:256" ht="36" customHeight="1" x14ac:dyDescent="0.2">
      <c r="A1" s="259" t="s">
        <v>2662</v>
      </c>
      <c r="B1" s="259"/>
    </row>
    <row r="2" spans="1:256" ht="26.1" customHeight="1" x14ac:dyDescent="0.2">
      <c r="A2" s="260"/>
      <c r="B2" s="260"/>
      <c r="C2" s="21"/>
      <c r="D2" s="21"/>
      <c r="E2" s="21"/>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7" customFormat="1" ht="24" customHeight="1" x14ac:dyDescent="0.2">
      <c r="A3" s="254" t="s">
        <v>461</v>
      </c>
      <c r="B3" s="255"/>
    </row>
    <row r="4" spans="1:256" ht="72" customHeight="1" x14ac:dyDescent="0.2">
      <c r="A4" s="249" t="s">
        <v>2715</v>
      </c>
      <c r="B4" s="249"/>
    </row>
    <row r="5" spans="1:256" s="17" customFormat="1" ht="24" customHeight="1" x14ac:dyDescent="0.2">
      <c r="A5" s="254" t="s">
        <v>462</v>
      </c>
      <c r="B5" s="255"/>
    </row>
    <row r="6" spans="1:256" ht="84" customHeight="1" x14ac:dyDescent="0.2">
      <c r="A6" s="249" t="s">
        <v>2684</v>
      </c>
      <c r="B6" s="249"/>
    </row>
    <row r="7" spans="1:256" ht="55.35" customHeight="1" x14ac:dyDescent="0.2">
      <c r="A7" s="22" t="s">
        <v>1</v>
      </c>
      <c r="B7" s="14" t="s">
        <v>2716</v>
      </c>
    </row>
    <row r="8" spans="1:256" ht="54" customHeight="1" x14ac:dyDescent="0.2">
      <c r="A8" s="22" t="s">
        <v>12</v>
      </c>
      <c r="B8" s="14" t="s">
        <v>464</v>
      </c>
    </row>
    <row r="9" spans="1:256" ht="36" customHeight="1" x14ac:dyDescent="0.2">
      <c r="A9" s="22" t="s">
        <v>18</v>
      </c>
      <c r="B9" s="14" t="s">
        <v>2717</v>
      </c>
    </row>
    <row r="10" spans="1:256" ht="36" customHeight="1" x14ac:dyDescent="0.2">
      <c r="A10" s="22" t="s">
        <v>155</v>
      </c>
      <c r="B10" s="14" t="s">
        <v>465</v>
      </c>
    </row>
    <row r="11" spans="1:256" ht="36" customHeight="1" x14ac:dyDescent="0.2">
      <c r="A11" s="22" t="s">
        <v>463</v>
      </c>
      <c r="B11" s="14" t="s">
        <v>2635</v>
      </c>
    </row>
    <row r="12" spans="1:256" ht="96" customHeight="1" x14ac:dyDescent="0.2">
      <c r="A12" s="249" t="s">
        <v>468</v>
      </c>
      <c r="B12" s="249"/>
    </row>
    <row r="13" spans="1:256" ht="124.35" customHeight="1" x14ac:dyDescent="0.2">
      <c r="A13" s="251" t="s">
        <v>466</v>
      </c>
      <c r="B13" s="252"/>
    </row>
    <row r="14" spans="1:256" s="17" customFormat="1" ht="24" customHeight="1" x14ac:dyDescent="0.2">
      <c r="A14" s="254" t="s">
        <v>469</v>
      </c>
      <c r="B14" s="255"/>
    </row>
    <row r="15" spans="1:256" ht="56.1" customHeight="1" x14ac:dyDescent="0.2">
      <c r="A15" s="249" t="s">
        <v>470</v>
      </c>
      <c r="B15" s="249"/>
    </row>
    <row r="16" spans="1:256" ht="112.35" customHeight="1" x14ac:dyDescent="0.2">
      <c r="A16" s="251" t="s">
        <v>467</v>
      </c>
      <c r="B16" s="252"/>
    </row>
    <row r="17" spans="1:2" s="17" customFormat="1" ht="24" customHeight="1" x14ac:dyDescent="0.2">
      <c r="A17" s="254" t="s">
        <v>2669</v>
      </c>
      <c r="B17" s="255"/>
    </row>
    <row r="18" spans="1:2" s="138" customFormat="1" ht="36" customHeight="1" x14ac:dyDescent="0.2">
      <c r="A18" s="183" t="s">
        <v>2654</v>
      </c>
      <c r="B18" s="166" t="s">
        <v>2655</v>
      </c>
    </row>
    <row r="19" spans="1:2" s="138" customFormat="1" ht="36" customHeight="1" x14ac:dyDescent="0.2">
      <c r="A19" s="183" t="s">
        <v>2667</v>
      </c>
      <c r="B19" s="201" t="s">
        <v>2718</v>
      </c>
    </row>
    <row r="20" spans="1:2" s="138" customFormat="1" ht="36" customHeight="1" x14ac:dyDescent="0.2">
      <c r="A20" s="183" t="s">
        <v>2666</v>
      </c>
      <c r="B20" s="166" t="s">
        <v>2668</v>
      </c>
    </row>
    <row r="21" spans="1:2" s="138" customFormat="1" ht="86.1" customHeight="1" x14ac:dyDescent="0.2">
      <c r="A21" s="257" t="s">
        <v>2719</v>
      </c>
      <c r="B21" s="258"/>
    </row>
    <row r="22" spans="1:2" s="138" customFormat="1" ht="123.95" customHeight="1" x14ac:dyDescent="0.2">
      <c r="A22" s="207"/>
      <c r="B22" s="208" t="s">
        <v>2720</v>
      </c>
    </row>
    <row r="23" spans="1:2" s="17" customFormat="1" ht="24" customHeight="1" x14ac:dyDescent="0.2">
      <c r="A23" s="254" t="s">
        <v>2664</v>
      </c>
      <c r="B23" s="255"/>
    </row>
    <row r="24" spans="1:2" s="138" customFormat="1" ht="54" customHeight="1" x14ac:dyDescent="0.2">
      <c r="A24" s="256" t="s">
        <v>2721</v>
      </c>
      <c r="B24" s="249"/>
    </row>
    <row r="25" spans="1:2" ht="36" customHeight="1" x14ac:dyDescent="0.2">
      <c r="A25" s="253" t="s">
        <v>2683</v>
      </c>
      <c r="B25" s="253"/>
    </row>
    <row r="26" spans="1:2" ht="47.1" customHeight="1" x14ac:dyDescent="0.2">
      <c r="A26" s="250"/>
      <c r="B26" s="250"/>
    </row>
    <row r="27" spans="1:2" s="17" customFormat="1" ht="24" customHeight="1" x14ac:dyDescent="0.2">
      <c r="A27" s="247" t="s">
        <v>2643</v>
      </c>
      <c r="B27" s="248"/>
    </row>
    <row r="28" spans="1:2" s="138" customFormat="1" ht="97.35" customHeight="1" x14ac:dyDescent="0.2">
      <c r="A28" s="249" t="s">
        <v>2665</v>
      </c>
      <c r="B28" s="249"/>
    </row>
    <row r="29" spans="1:2" x14ac:dyDescent="0.2">
      <c r="A29" s="19"/>
    </row>
    <row r="30" spans="1:2" x14ac:dyDescent="0.2">
      <c r="A30" s="18"/>
    </row>
    <row r="32" spans="1:2" x14ac:dyDescent="0.2">
      <c r="A32" s="18"/>
    </row>
    <row r="35" spans="1:1" x14ac:dyDescent="0.2">
      <c r="A35" s="20"/>
    </row>
  </sheetData>
  <mergeCells count="19">
    <mergeCell ref="A6:B6"/>
    <mergeCell ref="A12:B12"/>
    <mergeCell ref="A14:B14"/>
    <mergeCell ref="A15:B15"/>
    <mergeCell ref="A17:B17"/>
    <mergeCell ref="A1:B1"/>
    <mergeCell ref="A2:B2"/>
    <mergeCell ref="A3:B3"/>
    <mergeCell ref="A4:B4"/>
    <mergeCell ref="A5:B5"/>
    <mergeCell ref="A27:B27"/>
    <mergeCell ref="A28:B28"/>
    <mergeCell ref="A26:B26"/>
    <mergeCell ref="A16:B16"/>
    <mergeCell ref="A13:B13"/>
    <mergeCell ref="A25:B25"/>
    <mergeCell ref="A23:B23"/>
    <mergeCell ref="A24:B24"/>
    <mergeCell ref="A21: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2"/>
  <sheetViews>
    <sheetView showGridLines="0" tabSelected="1" topLeftCell="A10" zoomScaleNormal="100" workbookViewId="0">
      <selection activeCell="C19" sqref="C19:E19"/>
    </sheetView>
  </sheetViews>
  <sheetFormatPr defaultColWidth="6.59765625" defaultRowHeight="15" customHeight="1" x14ac:dyDescent="0.2"/>
  <cols>
    <col min="1" max="1" width="8.19921875" style="104" customWidth="1"/>
    <col min="2" max="2" width="58.5" style="3" customWidth="1"/>
    <col min="3" max="3" width="20" style="25" customWidth="1"/>
    <col min="4" max="4" width="50.59765625" style="5" customWidth="1"/>
    <col min="5" max="5" width="32" style="6" customWidth="1"/>
    <col min="6" max="256" width="6.59765625" style="3" customWidth="1"/>
  </cols>
  <sheetData>
    <row r="1" spans="1:256" ht="36" customHeight="1" x14ac:dyDescent="0.2">
      <c r="A1" s="266" t="s">
        <v>473</v>
      </c>
      <c r="B1" s="266"/>
      <c r="C1" s="266"/>
      <c r="D1" s="266"/>
      <c r="E1" s="211" t="s">
        <v>2732</v>
      </c>
    </row>
    <row r="2" spans="1:256" ht="26.1" customHeight="1" x14ac:dyDescent="0.2">
      <c r="A2" s="260" t="s">
        <v>97</v>
      </c>
      <c r="B2" s="260"/>
      <c r="C2" s="260"/>
      <c r="D2" s="260"/>
      <c r="E2" s="260"/>
    </row>
    <row r="3" spans="1:256" ht="29.1" customHeight="1" x14ac:dyDescent="0.2">
      <c r="A3" s="23" t="s">
        <v>433</v>
      </c>
      <c r="B3" s="8" t="s">
        <v>0</v>
      </c>
      <c r="C3" s="268" t="s">
        <v>2661</v>
      </c>
      <c r="D3" s="268"/>
      <c r="E3" s="268"/>
    </row>
    <row r="4" spans="1:256" ht="36" customHeight="1" x14ac:dyDescent="0.2">
      <c r="A4" s="263" t="s">
        <v>1</v>
      </c>
      <c r="B4" s="263"/>
      <c r="C4" s="26"/>
      <c r="D4" s="27"/>
      <c r="E4" s="28"/>
    </row>
    <row r="5" spans="1:256" ht="72" customHeight="1" x14ac:dyDescent="0.2">
      <c r="A5" s="267" t="s">
        <v>576</v>
      </c>
      <c r="B5" s="267"/>
      <c r="C5" s="267"/>
      <c r="D5" s="267"/>
      <c r="E5" s="267"/>
    </row>
    <row r="6" spans="1:256" ht="24" customHeight="1" x14ac:dyDescent="0.2">
      <c r="A6" s="270" t="s">
        <v>2570</v>
      </c>
      <c r="B6" s="270"/>
      <c r="C6" s="270"/>
      <c r="D6" s="270"/>
      <c r="E6" s="270"/>
    </row>
    <row r="7" spans="1:256" ht="22.35" customHeight="1" x14ac:dyDescent="0.2">
      <c r="A7" s="15" t="s">
        <v>438</v>
      </c>
      <c r="B7" s="29" t="s">
        <v>3</v>
      </c>
      <c r="C7" s="269" t="s">
        <v>3</v>
      </c>
      <c r="D7" s="269"/>
      <c r="E7" s="269"/>
    </row>
    <row r="8" spans="1:256" ht="22.35" customHeight="1" x14ac:dyDescent="0.2">
      <c r="A8" s="15" t="s">
        <v>439</v>
      </c>
      <c r="B8" s="29" t="s">
        <v>4</v>
      </c>
      <c r="C8" s="269" t="s">
        <v>2122</v>
      </c>
      <c r="D8" s="269"/>
      <c r="E8" s="269"/>
    </row>
    <row r="9" spans="1:256" ht="22.35" customHeight="1" x14ac:dyDescent="0.2">
      <c r="A9" s="15" t="s">
        <v>440</v>
      </c>
      <c r="B9" s="29" t="s">
        <v>5</v>
      </c>
      <c r="C9" s="269" t="s">
        <v>2653</v>
      </c>
      <c r="D9" s="269"/>
      <c r="E9" s="269"/>
    </row>
    <row r="10" spans="1:256" ht="22.35" customHeight="1" x14ac:dyDescent="0.2">
      <c r="A10" s="15" t="s">
        <v>441</v>
      </c>
      <c r="B10" s="29" t="s">
        <v>6</v>
      </c>
      <c r="C10" s="269" t="s">
        <v>2123</v>
      </c>
      <c r="D10" s="269"/>
      <c r="E10" s="269"/>
    </row>
    <row r="11" spans="1:256" ht="22.35" customHeight="1" x14ac:dyDescent="0.2">
      <c r="A11" s="15" t="s">
        <v>442</v>
      </c>
      <c r="B11" s="29" t="s">
        <v>7</v>
      </c>
      <c r="C11" s="269" t="s">
        <v>7</v>
      </c>
      <c r="D11" s="269"/>
      <c r="E11" s="269"/>
    </row>
    <row r="12" spans="1:256" ht="22.35" customHeight="1" x14ac:dyDescent="0.2">
      <c r="A12" s="15" t="s">
        <v>443</v>
      </c>
      <c r="B12" s="29" t="s">
        <v>8</v>
      </c>
      <c r="C12" s="269" t="s">
        <v>8</v>
      </c>
      <c r="D12" s="269"/>
      <c r="E12" s="269"/>
    </row>
    <row r="13" spans="1:256" ht="22.35" customHeight="1" x14ac:dyDescent="0.2">
      <c r="A13" s="15" t="s">
        <v>444</v>
      </c>
      <c r="B13" s="29" t="s">
        <v>9</v>
      </c>
      <c r="C13" s="269" t="s">
        <v>2124</v>
      </c>
      <c r="D13" s="269"/>
      <c r="E13" s="269"/>
    </row>
    <row r="14" spans="1:256" ht="22.35" customHeight="1" x14ac:dyDescent="0.2">
      <c r="A14" s="15" t="s">
        <v>445</v>
      </c>
      <c r="B14" s="29" t="s">
        <v>10</v>
      </c>
      <c r="C14" s="269" t="s">
        <v>2</v>
      </c>
      <c r="D14" s="269"/>
      <c r="E14" s="269"/>
    </row>
    <row r="15" spans="1:256" s="138" customFormat="1" ht="22.35" customHeight="1" x14ac:dyDescent="0.2">
      <c r="A15" s="15" t="s">
        <v>446</v>
      </c>
      <c r="B15" s="29" t="s">
        <v>2666</v>
      </c>
      <c r="C15" s="269" t="s">
        <v>2673</v>
      </c>
      <c r="D15" s="269"/>
      <c r="E15" s="26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38" customFormat="1" ht="22.35" customHeight="1" x14ac:dyDescent="0.2">
      <c r="A16" s="15" t="s">
        <v>447</v>
      </c>
      <c r="B16" s="29" t="s">
        <v>2667</v>
      </c>
      <c r="C16" s="269" t="s">
        <v>2673</v>
      </c>
      <c r="D16" s="269"/>
      <c r="E16" s="26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x14ac:dyDescent="0.2">
      <c r="A17" s="270" t="s">
        <v>2670</v>
      </c>
      <c r="B17" s="270"/>
      <c r="C17" s="270"/>
      <c r="D17" s="270"/>
      <c r="E17" s="270"/>
    </row>
    <row r="18" spans="1:5" ht="22.35" customHeight="1" x14ac:dyDescent="0.2">
      <c r="A18" s="15" t="s">
        <v>2671</v>
      </c>
      <c r="B18" s="29" t="s">
        <v>2571</v>
      </c>
      <c r="C18" s="271" t="s">
        <v>2733</v>
      </c>
      <c r="D18" s="271"/>
      <c r="E18" s="271"/>
    </row>
    <row r="19" spans="1:5" ht="22.35" customHeight="1" x14ac:dyDescent="0.2">
      <c r="A19" s="15" t="s">
        <v>2672</v>
      </c>
      <c r="B19" s="29" t="s">
        <v>98</v>
      </c>
      <c r="C19" s="323" t="s">
        <v>2734</v>
      </c>
      <c r="D19" s="322"/>
      <c r="E19" s="322"/>
    </row>
    <row r="20" spans="1:5" ht="36" customHeight="1" x14ac:dyDescent="0.2">
      <c r="A20" s="263" t="s">
        <v>11</v>
      </c>
      <c r="B20" s="263"/>
      <c r="C20" s="26"/>
      <c r="D20" s="27"/>
      <c r="E20" s="28"/>
    </row>
    <row r="21" spans="1:5" ht="48" customHeight="1" x14ac:dyDescent="0.2">
      <c r="A21" s="267" t="s">
        <v>544</v>
      </c>
      <c r="B21" s="267"/>
      <c r="C21" s="267"/>
      <c r="D21" s="267"/>
      <c r="E21" s="267"/>
    </row>
    <row r="22" spans="1:5" ht="37.35" customHeight="1" x14ac:dyDescent="0.2">
      <c r="A22" s="263" t="s">
        <v>12</v>
      </c>
      <c r="B22" s="263"/>
      <c r="C22" s="26" t="s">
        <v>13</v>
      </c>
      <c r="D22" s="26" t="s">
        <v>14</v>
      </c>
      <c r="E22" s="7" t="s">
        <v>15</v>
      </c>
    </row>
    <row r="23" spans="1:5" ht="48" customHeight="1" x14ac:dyDescent="0.2">
      <c r="A23" s="267" t="s">
        <v>2722</v>
      </c>
      <c r="B23" s="267"/>
      <c r="C23" s="267"/>
      <c r="D23" s="267"/>
      <c r="E23" s="267"/>
    </row>
    <row r="24" spans="1:5" ht="48" customHeight="1" x14ac:dyDescent="0.2">
      <c r="A24" s="15" t="s">
        <v>170</v>
      </c>
      <c r="B24" s="31" t="s">
        <v>96</v>
      </c>
      <c r="C24" s="12"/>
      <c r="D24" s="153"/>
      <c r="E24" s="9" t="str">
        <f>IF(C24="","",IF(C24="Yes","You are required to complete the questions in the HIPAA section.","Responses to the questions in the HIPAA section are optional."))</f>
        <v/>
      </c>
    </row>
    <row r="25" spans="1:5" ht="48" customHeight="1" x14ac:dyDescent="0.2">
      <c r="A25" s="15" t="s">
        <v>171</v>
      </c>
      <c r="B25" s="31" t="s">
        <v>583</v>
      </c>
      <c r="C25" s="12"/>
      <c r="D25" s="154"/>
      <c r="E25" s="9" t="str">
        <f>IF(C25="","",IF(C25="Yes","You are required to complete the questions in the Mobile Application section.","Responses to the questions in the Mobile Application section are optional."))</f>
        <v/>
      </c>
    </row>
    <row r="26" spans="1:5" ht="48" customHeight="1" x14ac:dyDescent="0.2">
      <c r="A26" s="15" t="s">
        <v>172</v>
      </c>
      <c r="B26" s="31" t="s">
        <v>584</v>
      </c>
      <c r="C26" s="12"/>
      <c r="D26" s="154"/>
      <c r="E26" s="9" t="str">
        <f>IF(C26="","",IF(C26="Yes","You are required to complete the questions in the Third Parties section.","Responses to the questions in the Third Parties section are optional."))</f>
        <v/>
      </c>
    </row>
    <row r="27" spans="1:5" ht="48" customHeight="1" x14ac:dyDescent="0.2">
      <c r="A27" s="15" t="s">
        <v>173</v>
      </c>
      <c r="B27" s="31" t="s">
        <v>159</v>
      </c>
      <c r="C27" s="12"/>
      <c r="D27" s="153"/>
      <c r="E27" s="9" t="str">
        <f>IF(C27="","",IF(C27="Yes","You are required to complete the questions in the Business Continuity section.","Respond to as many questions in the Business Continuity section as possible."))</f>
        <v/>
      </c>
    </row>
    <row r="28" spans="1:5" ht="48" customHeight="1" x14ac:dyDescent="0.2">
      <c r="A28" s="15" t="s">
        <v>174</v>
      </c>
      <c r="B28" s="31" t="s">
        <v>160</v>
      </c>
      <c r="C28" s="12"/>
      <c r="D28" s="153"/>
      <c r="E28" s="9" t="str">
        <f>IF(C28="","",IF(C28="Yes","You are required to complete the questions in the Disaster Recovery section.","Respond to as many questions in the Disaster Recovery section as possible."))</f>
        <v/>
      </c>
    </row>
    <row r="29" spans="1:5" ht="48" customHeight="1" x14ac:dyDescent="0.2">
      <c r="A29" s="15" t="s">
        <v>175</v>
      </c>
      <c r="B29" s="31" t="s">
        <v>16</v>
      </c>
      <c r="C29" s="12"/>
      <c r="D29" s="153"/>
      <c r="E29" s="9" t="str">
        <f>IF(C29="","",IF(C29="Yes","You are required to complete the questions in the PCI DSS section.","Responses to the questions in the PCI DSS section are optional."))</f>
        <v/>
      </c>
    </row>
    <row r="30" spans="1:5" ht="64.349999999999994" customHeight="1" x14ac:dyDescent="0.2">
      <c r="A30" s="15" t="s">
        <v>176</v>
      </c>
      <c r="B30" s="31" t="s">
        <v>527</v>
      </c>
      <c r="C30" s="12"/>
      <c r="D30" s="153"/>
      <c r="E30" s="9" t="str">
        <f>IF(C30="","",IF(C30="Yes","You are required to complete the questions in the Consulting section. All questions AFTER the Consulting section are OPTIONAL.","Responses to the questions in the Consulting section are optional."))</f>
        <v/>
      </c>
    </row>
    <row r="31" spans="1:5" ht="36" customHeight="1" x14ac:dyDescent="0.2">
      <c r="A31" s="263" t="s">
        <v>18</v>
      </c>
      <c r="B31" s="263"/>
      <c r="C31" s="26" t="s">
        <v>13</v>
      </c>
      <c r="D31" s="26" t="s">
        <v>14</v>
      </c>
      <c r="E31" s="7" t="s">
        <v>15</v>
      </c>
    </row>
    <row r="32" spans="1:5" ht="97.35" customHeight="1" x14ac:dyDescent="0.2">
      <c r="A32" s="15" t="s">
        <v>177</v>
      </c>
      <c r="B32" s="117" t="s">
        <v>19</v>
      </c>
      <c r="C32" s="12"/>
      <c r="D32" s="155"/>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
      </c>
    </row>
    <row r="33" spans="1:5" ht="48" customHeight="1" x14ac:dyDescent="0.2">
      <c r="A33" s="15" t="s">
        <v>178</v>
      </c>
      <c r="B33" s="117" t="s">
        <v>132</v>
      </c>
      <c r="C33" s="12"/>
      <c r="D33" s="155"/>
      <c r="E33" s="10" t="str">
        <f>IF(C33="","",IF(C33="Yes","Please include a copy with your response and include a URL for the published assessment.","Describe any plans to complete the CSA self assessment or CAIQ."))</f>
        <v/>
      </c>
    </row>
    <row r="34" spans="1:5" ht="48" customHeight="1" x14ac:dyDescent="0.2">
      <c r="A34" s="15" t="s">
        <v>179</v>
      </c>
      <c r="B34" s="158" t="s">
        <v>20</v>
      </c>
      <c r="C34" s="12"/>
      <c r="D34" s="155"/>
      <c r="E34" s="9" t="str">
        <f>IF(C34="","",IF(C34="Yes","Provide date of certification, any supporting documentation, and a URL for the certification.","Describe any plans to obtain CSA STAR certification."))</f>
        <v/>
      </c>
    </row>
    <row r="35" spans="1:5" ht="64.349999999999994" customHeight="1" x14ac:dyDescent="0.2">
      <c r="A35" s="15" t="s">
        <v>180</v>
      </c>
      <c r="B35" s="117" t="s">
        <v>2657</v>
      </c>
      <c r="C35" s="12"/>
      <c r="D35" s="155"/>
      <c r="E35" s="9" t="str">
        <f>IF(C35="","",IF(C35="Yes","Provide documentation on how your organization conforms to each framework and indicate current certification levels, where appropriate.","Describe any plans to conform to an industry standard security framework."))</f>
        <v/>
      </c>
    </row>
    <row r="36" spans="1:5" ht="64.349999999999994" customHeight="1" x14ac:dyDescent="0.2">
      <c r="A36" s="15" t="s">
        <v>181</v>
      </c>
      <c r="B36" s="158" t="s">
        <v>909</v>
      </c>
      <c r="C36" s="12"/>
      <c r="D36" s="156"/>
      <c r="E36" s="9" t="str">
        <f>IF(C36="","",IF(C36="Yes","Indicate level, agency issuing ATO, and necessary details on ATO. If using FEDRamp, please indicate the supporting details.","Describe any plans to become FISMA compliant."))</f>
        <v/>
      </c>
    </row>
    <row r="37" spans="1:5" ht="48" customHeight="1" x14ac:dyDescent="0.2">
      <c r="A37" s="15" t="s">
        <v>182</v>
      </c>
      <c r="B37" s="31" t="s">
        <v>479</v>
      </c>
      <c r="C37" s="12"/>
      <c r="D37" s="157"/>
      <c r="E37" s="9" t="str">
        <f>IF(C37="","",IF(C37="Yes","Provide your data privacy document (or a valid link to it) upon submission.","Describe your plans to provide a data privacy document."))</f>
        <v/>
      </c>
    </row>
    <row r="38" spans="1:5" ht="36" customHeight="1" x14ac:dyDescent="0.2">
      <c r="A38" s="263" t="s">
        <v>155</v>
      </c>
      <c r="B38" s="263"/>
      <c r="C38" s="26" t="s">
        <v>13</v>
      </c>
      <c r="D38" s="26" t="s">
        <v>14</v>
      </c>
      <c r="E38" s="7" t="s">
        <v>15</v>
      </c>
    </row>
    <row r="39" spans="1:5" ht="54" customHeight="1" x14ac:dyDescent="0.2">
      <c r="A39" s="15" t="s">
        <v>183</v>
      </c>
      <c r="B39" s="117" t="s">
        <v>156</v>
      </c>
      <c r="C39" s="264"/>
      <c r="D39" s="264"/>
      <c r="E39" s="9" t="s">
        <v>2573</v>
      </c>
    </row>
    <row r="40" spans="1:5" ht="54" customHeight="1" x14ac:dyDescent="0.2">
      <c r="A40" s="15" t="s">
        <v>184</v>
      </c>
      <c r="B40" s="117" t="s">
        <v>158</v>
      </c>
      <c r="C40" s="264"/>
      <c r="D40" s="264"/>
      <c r="E40" s="9" t="s">
        <v>2574</v>
      </c>
    </row>
    <row r="41" spans="1:5" ht="54" customHeight="1" x14ac:dyDescent="0.2">
      <c r="A41" s="15" t="s">
        <v>185</v>
      </c>
      <c r="B41" s="117" t="s">
        <v>910</v>
      </c>
      <c r="C41" s="12"/>
      <c r="D41" s="118"/>
      <c r="E41" s="9" t="str">
        <f>IF(C41="","",IF(C41="Yes","Provide a list of Higher Ed references, with contact information.","State your primary industry."))</f>
        <v/>
      </c>
    </row>
    <row r="42" spans="1:5" ht="64.349999999999994" customHeight="1" x14ac:dyDescent="0.2">
      <c r="A42" s="15" t="s">
        <v>186</v>
      </c>
      <c r="B42" s="117" t="s">
        <v>911</v>
      </c>
      <c r="C42" s="12"/>
      <c r="D42" s="119"/>
      <c r="E42" s="9" t="str">
        <f>IF(C42="","",IF(C42="Yes","Provide a detailed summary of the breach.",""))</f>
        <v/>
      </c>
    </row>
    <row r="43" spans="1:5" ht="54" customHeight="1" x14ac:dyDescent="0.2">
      <c r="A43" s="15" t="s">
        <v>187</v>
      </c>
      <c r="B43" s="117" t="s">
        <v>912</v>
      </c>
      <c r="C43" s="12"/>
      <c r="D43" s="118"/>
      <c r="E43" s="9" t="str">
        <f>IF(C43="","",IF(C43="Yes","Decribe your Information Security Office, including size, talents, resources, etc.","Describe any plans to create an Information Security Office for your organization."))</f>
        <v/>
      </c>
    </row>
    <row r="44" spans="1:5" ht="64.349999999999994" customHeight="1" x14ac:dyDescent="0.2">
      <c r="A44" s="15" t="s">
        <v>188</v>
      </c>
      <c r="B44" s="117" t="s">
        <v>2572</v>
      </c>
      <c r="C44" s="12"/>
      <c r="D44" s="119"/>
      <c r="E44" s="9" t="str">
        <f>IF(C44="","",IF(C44="Yes","Describe the structure and size of your Software and System Development teams. (e.g. Customer Support, Implementation, Product Management, etc.)","Describe any plans to create an Information Security Office for your organization."))</f>
        <v/>
      </c>
    </row>
    <row r="45" spans="1:5" ht="83.1" customHeight="1" x14ac:dyDescent="0.2">
      <c r="A45" s="15" t="s">
        <v>437</v>
      </c>
      <c r="B45" s="117" t="s">
        <v>913</v>
      </c>
      <c r="C45" s="265"/>
      <c r="D45" s="265"/>
      <c r="E45" s="9" t="s">
        <v>2575</v>
      </c>
    </row>
    <row r="46" spans="1:5" ht="36" customHeight="1" x14ac:dyDescent="0.2">
      <c r="A46" s="263" t="str">
        <f>IF($C$26="No","Third Parties - Optional based on QUALIFIER response.","Third Parties")</f>
        <v>Third Parties</v>
      </c>
      <c r="B46" s="263"/>
      <c r="C46" s="26" t="s">
        <v>13</v>
      </c>
      <c r="D46" s="26" t="s">
        <v>14</v>
      </c>
      <c r="E46" s="7" t="s">
        <v>15</v>
      </c>
    </row>
    <row r="47" spans="1:5" ht="96" customHeight="1" x14ac:dyDescent="0.2">
      <c r="A47" s="15" t="s">
        <v>189</v>
      </c>
      <c r="B47" s="31" t="s">
        <v>133</v>
      </c>
      <c r="C47" s="261"/>
      <c r="D47" s="261"/>
      <c r="E47" s="9" t="s">
        <v>2645</v>
      </c>
    </row>
    <row r="48" spans="1:5" ht="80.099999999999994" customHeight="1" x14ac:dyDescent="0.2">
      <c r="A48" s="15" t="s">
        <v>190</v>
      </c>
      <c r="B48" s="31" t="s">
        <v>528</v>
      </c>
      <c r="C48" s="261"/>
      <c r="D48" s="261"/>
      <c r="E48" s="9" t="s">
        <v>2646</v>
      </c>
    </row>
    <row r="49" spans="1:256" ht="80.099999999999994" customHeight="1" x14ac:dyDescent="0.2">
      <c r="A49" s="15" t="s">
        <v>191</v>
      </c>
      <c r="B49" s="31" t="s">
        <v>22</v>
      </c>
      <c r="C49" s="261"/>
      <c r="D49" s="261"/>
      <c r="E49" s="9" t="s">
        <v>2647</v>
      </c>
    </row>
    <row r="50" spans="1:256" ht="80.099999999999994" customHeight="1" x14ac:dyDescent="0.2">
      <c r="A50" s="15" t="s">
        <v>436</v>
      </c>
      <c r="B50" s="31" t="s">
        <v>448</v>
      </c>
      <c r="C50" s="261"/>
      <c r="D50" s="261"/>
      <c r="E50" s="9" t="s">
        <v>2648</v>
      </c>
    </row>
    <row r="51" spans="1:256" ht="36" customHeight="1" x14ac:dyDescent="0.2">
      <c r="A51" s="263" t="str">
        <f>IF($C$30="","Consulting",IF($C$30="Yes","Consulting - All questions after this section are OPTIONAL.","Consulting - Optional based on QUALIFIER response."))</f>
        <v>Consulting</v>
      </c>
      <c r="B51" s="263"/>
      <c r="C51" s="26" t="s">
        <v>13</v>
      </c>
      <c r="D51" s="26" t="s">
        <v>14</v>
      </c>
      <c r="E51" s="7" t="s">
        <v>15</v>
      </c>
    </row>
    <row r="52" spans="1:256" ht="48" customHeight="1" x14ac:dyDescent="0.2">
      <c r="A52" s="15" t="s">
        <v>192</v>
      </c>
      <c r="B52" s="31" t="s">
        <v>919</v>
      </c>
      <c r="C52" s="12"/>
      <c r="D52" s="30"/>
      <c r="E52" s="10" t="str">
        <f>IF(C52="","",IF(C52="Yes","Describe how physical access will be managed.",""))</f>
        <v/>
      </c>
    </row>
    <row r="53" spans="1:256" ht="63" customHeight="1" x14ac:dyDescent="0.2">
      <c r="A53" s="15" t="s">
        <v>193</v>
      </c>
      <c r="B53" s="31" t="s">
        <v>549</v>
      </c>
      <c r="C53" s="12"/>
      <c r="D53" s="30"/>
      <c r="E53" s="10" t="str">
        <f>IF(C53="","",IF(C53="Yes","Describe how institution's resources will be protected during this engagement.",""))</f>
        <v/>
      </c>
    </row>
    <row r="54" spans="1:256" ht="63" customHeight="1" x14ac:dyDescent="0.2">
      <c r="A54" s="15" t="s">
        <v>194</v>
      </c>
      <c r="B54" s="31" t="s">
        <v>550</v>
      </c>
      <c r="C54" s="12"/>
      <c r="D54" s="30"/>
      <c r="E54" s="10" t="str">
        <f>IF(C54="","",IF(C54="Yes","Summarize the need for physical access and what steps/agreements will be implemented to ensure physical security.",""))</f>
        <v/>
      </c>
    </row>
    <row r="55" spans="1:256" ht="48" customHeight="1" x14ac:dyDescent="0.2">
      <c r="A55" s="15" t="s">
        <v>195</v>
      </c>
      <c r="B55" s="31" t="s">
        <v>551</v>
      </c>
      <c r="C55" s="12"/>
      <c r="D55" s="13"/>
      <c r="E55" s="10" t="str">
        <f>IF(C55="","",IF(C55="Yes","Summarize the need for an account within the Institution's domain.",""))</f>
        <v/>
      </c>
    </row>
    <row r="56" spans="1:256" ht="48" customHeight="1" x14ac:dyDescent="0.2">
      <c r="A56" s="15" t="s">
        <v>196</v>
      </c>
      <c r="B56" s="31" t="s">
        <v>477</v>
      </c>
      <c r="C56" s="12"/>
      <c r="D56" s="13"/>
      <c r="E56" s="10" t="str">
        <f>IF(C56="","",IF(C56="Yes","State the name of  the training received and the most currently training date for each training.",""))</f>
        <v/>
      </c>
    </row>
    <row r="57" spans="1:256" ht="48" customHeight="1" x14ac:dyDescent="0.2">
      <c r="A57" s="15" t="s">
        <v>197</v>
      </c>
      <c r="B57" s="31" t="s">
        <v>480</v>
      </c>
      <c r="C57" s="12"/>
      <c r="D57" s="13"/>
      <c r="E57" s="10" t="str">
        <f>IF(C57="","",IF(C57="Yes","State how long the data will remain in their possession and state how the data will be protected.",""))</f>
        <v/>
      </c>
    </row>
    <row r="58" spans="1:256" s="1" customFormat="1" ht="48" customHeight="1" x14ac:dyDescent="0.2">
      <c r="A58" s="15" t="s">
        <v>198</v>
      </c>
      <c r="B58" s="31" t="s">
        <v>481</v>
      </c>
      <c r="C58" s="182"/>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2">
      <c r="A59" s="15" t="s">
        <v>199</v>
      </c>
      <c r="B59" s="31" t="s">
        <v>552</v>
      </c>
      <c r="C59" s="12"/>
      <c r="D59" s="13"/>
      <c r="E59" s="10" t="str">
        <f>IF(C59="","",IF(C59="Yes","Describe the tools and technical controls implemented to secure remote access.",""))</f>
        <v/>
      </c>
    </row>
    <row r="60" spans="1:256" s="1" customFormat="1" ht="48" customHeight="1" x14ac:dyDescent="0.2">
      <c r="A60" s="15" t="s">
        <v>200</v>
      </c>
      <c r="B60" s="31" t="s">
        <v>23</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2">
      <c r="A61" s="263" t="str">
        <f>IF($C$30="","Application/Service Security",IF($C$30="Yes","App/Service Security - Optional based on QUALIFIER response.","Application/Service Security"))</f>
        <v>Application/Service Security</v>
      </c>
      <c r="B61" s="263"/>
      <c r="C61" s="26" t="s">
        <v>13</v>
      </c>
      <c r="D61" s="26" t="s">
        <v>14</v>
      </c>
      <c r="E61" s="7" t="s">
        <v>15</v>
      </c>
    </row>
    <row r="62" spans="1:256" ht="49.35" customHeight="1" x14ac:dyDescent="0.2">
      <c r="A62" s="15" t="s">
        <v>201</v>
      </c>
      <c r="B62" s="71" t="s">
        <v>914</v>
      </c>
      <c r="C62" s="12"/>
      <c r="D62" s="154"/>
      <c r="E62" s="9" t="str">
        <f>IF(C62="","",IF(C62="Yes","Describe any infrastructure dependencies.","Describe any limitations that prevent virtualization."))</f>
        <v/>
      </c>
    </row>
    <row r="63" spans="1:256" ht="48" customHeight="1" x14ac:dyDescent="0.2">
      <c r="A63" s="15" t="s">
        <v>202</v>
      </c>
      <c r="B63" s="71" t="s">
        <v>915</v>
      </c>
      <c r="C63" s="12"/>
      <c r="D63" s="156"/>
      <c r="E63" s="9" t="str">
        <f>IF(C63="","",IF(C63="Yes","Describe the utilized technology.","Describe any plans to virtualize your environment hosting Institution data."))</f>
        <v/>
      </c>
    </row>
    <row r="64" spans="1:256" ht="48" customHeight="1" x14ac:dyDescent="0.2">
      <c r="A64" s="15" t="s">
        <v>553</v>
      </c>
      <c r="B64" s="71" t="s">
        <v>916</v>
      </c>
      <c r="C64" s="12"/>
      <c r="D64" s="154"/>
      <c r="E64" s="9" t="str">
        <f>IF(C64="","",IF(C64="Yes","If available, submit documentation and/or web resources.","Provide details that prevent this capability."))</f>
        <v/>
      </c>
    </row>
    <row r="65" spans="1:256" ht="80.099999999999994" customHeight="1" x14ac:dyDescent="0.2">
      <c r="A65" s="15" t="s">
        <v>203</v>
      </c>
      <c r="B65" s="71" t="s">
        <v>917</v>
      </c>
      <c r="C65" s="12"/>
      <c r="D65" s="139"/>
      <c r="E65" s="9" t="str">
        <f>IF(C65="","",IF(C65="Yes","Provide a reference to the requested documents or provide them when submitting this fully-populated HECVAT.","State any plans to provide system and/or application architecture diagrams."))</f>
        <v/>
      </c>
    </row>
    <row r="66" spans="1:256" ht="63" customHeight="1" x14ac:dyDescent="0.2">
      <c r="A66" s="15" t="s">
        <v>204</v>
      </c>
      <c r="B66" s="71" t="s">
        <v>32</v>
      </c>
      <c r="C66" s="12"/>
      <c r="D66" s="139"/>
      <c r="E66" s="9" t="str">
        <f>IF(C66="","",IF(C66="Yes","Provide a reference to documentation of your data input validation and error messaging capabilities.","State plans to implement data input validation and error messaging across all components of your system."))</f>
        <v/>
      </c>
    </row>
    <row r="67" spans="1:256" ht="48" customHeight="1" x14ac:dyDescent="0.2">
      <c r="A67" s="15" t="s">
        <v>205</v>
      </c>
      <c r="B67" s="71" t="s">
        <v>918</v>
      </c>
      <c r="C67" s="12"/>
      <c r="D67" s="32"/>
      <c r="E67" s="9" t="str">
        <f>IF(C67="","",IF(C67="Yes","Describe your single-tenant strategy.",""))</f>
        <v/>
      </c>
    </row>
    <row r="68" spans="1:256" s="1" customFormat="1" ht="80.099999999999994" customHeight="1" x14ac:dyDescent="0.2">
      <c r="A68" s="15" t="s">
        <v>206</v>
      </c>
      <c r="B68" s="71" t="s">
        <v>575</v>
      </c>
      <c r="C68" s="262"/>
      <c r="D68" s="261"/>
      <c r="E68" s="11" t="s">
        <v>2091</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x14ac:dyDescent="0.2">
      <c r="A69" s="15" t="s">
        <v>207</v>
      </c>
      <c r="B69" s="31" t="s">
        <v>529</v>
      </c>
      <c r="C69" s="12"/>
      <c r="D69" s="13"/>
      <c r="E69" s="9" t="str">
        <f>IF(C69="","",IF(C69="Yes","Describe the conditions of this breach and how was the investigation and response was managed in conjunction with the customer.",""))</f>
        <v/>
      </c>
    </row>
    <row r="70" spans="1:256" ht="64.349999999999994" customHeight="1" x14ac:dyDescent="0.2">
      <c r="A70" s="15" t="s">
        <v>208</v>
      </c>
      <c r="B70" s="71" t="s">
        <v>449</v>
      </c>
      <c r="C70" s="262"/>
      <c r="D70" s="261"/>
      <c r="E70" s="11" t="s">
        <v>2092</v>
      </c>
    </row>
    <row r="71" spans="1:256" ht="64.349999999999994" customHeight="1" x14ac:dyDescent="0.2">
      <c r="A71" s="15" t="s">
        <v>209</v>
      </c>
      <c r="B71" s="71" t="s">
        <v>450</v>
      </c>
      <c r="C71" s="262"/>
      <c r="D71" s="261"/>
      <c r="E71" s="9" t="s">
        <v>2577</v>
      </c>
    </row>
    <row r="72" spans="1:256" ht="48" customHeight="1" x14ac:dyDescent="0.2">
      <c r="A72" s="15" t="s">
        <v>210</v>
      </c>
      <c r="B72" s="71" t="s">
        <v>513</v>
      </c>
      <c r="C72" s="12"/>
      <c r="D72" s="105"/>
      <c r="E72" s="9" t="str">
        <f>IF(C72="","",IF(C72="Yes","Provide a brief description.","Provide a detailed description of the database and front-end system relationship."))</f>
        <v/>
      </c>
    </row>
    <row r="73" spans="1:256" ht="65.099999999999994" customHeight="1" x14ac:dyDescent="0.2">
      <c r="A73" s="15" t="s">
        <v>211</v>
      </c>
      <c r="B73" s="71" t="s">
        <v>451</v>
      </c>
      <c r="C73" s="262"/>
      <c r="D73" s="261"/>
      <c r="E73" s="9" t="s">
        <v>2578</v>
      </c>
    </row>
    <row r="74" spans="1:256" ht="65.099999999999994" customHeight="1" x14ac:dyDescent="0.2">
      <c r="A74" s="15" t="s">
        <v>212</v>
      </c>
      <c r="B74" s="71" t="s">
        <v>2093</v>
      </c>
      <c r="C74" s="12"/>
      <c r="D74" s="13"/>
      <c r="E74" s="9" t="str">
        <f>IF(C74="","",IF(C74="Yes","Describe all OS and web-browser combonations that are not currently supported.",""))</f>
        <v/>
      </c>
    </row>
    <row r="75" spans="1:256" ht="63" customHeight="1" x14ac:dyDescent="0.2">
      <c r="A75" s="15" t="s">
        <v>213</v>
      </c>
      <c r="B75" s="71" t="s">
        <v>114</v>
      </c>
      <c r="C75" s="12"/>
      <c r="D75" s="13"/>
      <c r="E75" s="9" t="str">
        <f>IF(C75="","",IF(C75="Yes","Provide a detailed description of system capabilities and how location data is secured.",""))</f>
        <v/>
      </c>
    </row>
    <row r="76" spans="1:256" ht="84" customHeight="1" x14ac:dyDescent="0.2">
      <c r="A76" s="15" t="s">
        <v>554</v>
      </c>
      <c r="B76" s="71" t="s">
        <v>452</v>
      </c>
      <c r="C76" s="262"/>
      <c r="D76" s="261"/>
      <c r="E76" s="9" t="s">
        <v>2579</v>
      </c>
    </row>
    <row r="77" spans="1:256" ht="65.099999999999994" customHeight="1" x14ac:dyDescent="0.2">
      <c r="A77" s="15" t="s">
        <v>214</v>
      </c>
      <c r="B77" s="71" t="s">
        <v>514</v>
      </c>
      <c r="C77" s="262"/>
      <c r="D77" s="261"/>
      <c r="E77" s="9" t="s">
        <v>2580</v>
      </c>
    </row>
    <row r="78" spans="1:256" ht="65.099999999999994" customHeight="1" x14ac:dyDescent="0.2">
      <c r="A78" s="15" t="s">
        <v>215</v>
      </c>
      <c r="B78" s="71" t="s">
        <v>512</v>
      </c>
      <c r="C78" s="262"/>
      <c r="D78" s="261"/>
      <c r="E78" s="9" t="s">
        <v>2581</v>
      </c>
    </row>
    <row r="79" spans="1:256" ht="36" customHeight="1" x14ac:dyDescent="0.2">
      <c r="A79" s="263" t="str">
        <f>IF($C$30="","Authentication, Authorization, and Accounting",IF($C$30="Yes","AAA - Optional based on QUALIFIER response.","Authentication, Authorization, and Accounting"))</f>
        <v>Authentication, Authorization, and Accounting</v>
      </c>
      <c r="B79" s="263"/>
      <c r="C79" s="26" t="s">
        <v>13</v>
      </c>
      <c r="D79" s="26" t="s">
        <v>14</v>
      </c>
      <c r="E79" s="7" t="s">
        <v>15</v>
      </c>
    </row>
    <row r="80" spans="1:256" ht="48" customHeight="1" x14ac:dyDescent="0.2">
      <c r="A80" s="15" t="s">
        <v>218</v>
      </c>
      <c r="B80" s="31" t="s">
        <v>35</v>
      </c>
      <c r="C80" s="12"/>
      <c r="D80" s="13"/>
      <c r="E80" s="10" t="str">
        <f>IF(C80="","",IF(C80="Yes","Describe how aging requirements are implemented in the product.","Describe plans to support password/passphrase aging requirements."))</f>
        <v/>
      </c>
    </row>
    <row r="81" spans="1:5" ht="48" customHeight="1" x14ac:dyDescent="0.2">
      <c r="A81" s="15" t="s">
        <v>219</v>
      </c>
      <c r="B81" s="31" t="s">
        <v>530</v>
      </c>
      <c r="C81" s="12"/>
      <c r="D81" s="13"/>
      <c r="E81" s="10" t="str">
        <f>IF(C81="","",IF(C81="Yes","Describe how password/passphrase complexity requirements are implemented in the product.","Describe plans to support password/passphrase complexity requirements."))</f>
        <v/>
      </c>
    </row>
    <row r="82" spans="1:5" ht="48" customHeight="1" x14ac:dyDescent="0.2">
      <c r="A82" s="15" t="s">
        <v>220</v>
      </c>
      <c r="B82" s="31" t="s">
        <v>2084</v>
      </c>
      <c r="C82" s="12"/>
      <c r="D82" s="156"/>
      <c r="E82" s="10" t="str">
        <f>IF(C82="","",IF(C82="Yes","Describe these limitations and/or restrictions and state what lengths and complexities are supported.",""))</f>
        <v/>
      </c>
    </row>
    <row r="83" spans="1:5" ht="65.099999999999994" customHeight="1" x14ac:dyDescent="0.2">
      <c r="A83" s="15" t="s">
        <v>221</v>
      </c>
      <c r="B83" s="31" t="s">
        <v>2085</v>
      </c>
      <c r="C83" s="12"/>
      <c r="D83" s="156"/>
      <c r="E83" s="10" t="str">
        <f>IF(C83="","",IF(C83="Yes","Describe your documented password/passphrase reset procedures that are currently implemented in the system and/or customer support.","Describe your plans to document system password/passphrase reset procedures."))</f>
        <v/>
      </c>
    </row>
    <row r="84" spans="1:5" ht="47.1" customHeight="1" x14ac:dyDescent="0.2">
      <c r="A84" s="15" t="s">
        <v>222</v>
      </c>
      <c r="B84" s="31" t="s">
        <v>2682</v>
      </c>
      <c r="C84" s="12"/>
      <c r="D84" s="200"/>
      <c r="E84" s="10" t="str">
        <f>IF(C84="","",IF(C84="Yes","Describe or provide a reference to the supported types of authentication.","Describe plans to support authentication in your web-based interface."))</f>
        <v/>
      </c>
    </row>
    <row r="85" spans="1:5" ht="48" customHeight="1" x14ac:dyDescent="0.2">
      <c r="A85" s="15" t="s">
        <v>223</v>
      </c>
      <c r="B85" s="31" t="s">
        <v>2582</v>
      </c>
      <c r="C85" s="12"/>
      <c r="D85" s="13"/>
      <c r="E85" s="10" t="str">
        <f>IF(C85="","",IF(C85="Yes","Provide a detailed description of passwords/passphrases hard-coded into your systems or products.",""))</f>
        <v/>
      </c>
    </row>
    <row r="86" spans="1:5" ht="48" customHeight="1" x14ac:dyDescent="0.2">
      <c r="A86" s="15" t="s">
        <v>224</v>
      </c>
      <c r="B86" s="31" t="s">
        <v>36</v>
      </c>
      <c r="C86" s="12"/>
      <c r="D86" s="105"/>
      <c r="E86" s="10" t="str">
        <f>IF(C86="","",IF(C86="Yes","Provide a detailed description stating why user account passwords/passphrases are visible by administrators.",""))</f>
        <v/>
      </c>
    </row>
    <row r="87" spans="1:5" ht="48" customHeight="1" x14ac:dyDescent="0.2">
      <c r="A87" s="15" t="s">
        <v>225</v>
      </c>
      <c r="B87" s="31" t="s">
        <v>37</v>
      </c>
      <c r="C87" s="12"/>
      <c r="D87" s="13"/>
      <c r="E87" s="10" t="str">
        <f>IF(C87="","",IF(C87="Yes","Describe or provide a reference to the algorithm/strategy that is used to encrypt stored passwords/passphrases.","Provide a detailed description stating why user account passwords/passphrases are not encrypted in storage."))</f>
        <v/>
      </c>
    </row>
    <row r="88" spans="1:5" ht="48" customHeight="1" x14ac:dyDescent="0.2">
      <c r="A88" s="70" t="s">
        <v>226</v>
      </c>
      <c r="B88" s="31" t="s">
        <v>135</v>
      </c>
      <c r="C88" s="12"/>
      <c r="D88" s="13"/>
      <c r="E88" s="10" t="str">
        <f>IF(C88="","",IF(C88="Yes","List all supported multi-factor authentication methods, technologies, and/or products and provide a brief summary of each.","Describe any plans to support multi-factor authentication in your application."))</f>
        <v/>
      </c>
    </row>
    <row r="89" spans="1:5" ht="53.1" customHeight="1" x14ac:dyDescent="0.2">
      <c r="A89" s="70" t="s">
        <v>227</v>
      </c>
      <c r="B89" s="31" t="s">
        <v>920</v>
      </c>
      <c r="C89" s="12"/>
      <c r="D89" s="13"/>
      <c r="E89" s="10" t="str">
        <f>IF(C89="","",IF(C89="Yes","Provide a brief description of supported authentication and authorization systems.","Describe any plans to support integration with other authentication and authorization systems."))</f>
        <v/>
      </c>
    </row>
    <row r="90" spans="1:5" ht="47.1" customHeight="1" x14ac:dyDescent="0.2">
      <c r="A90" s="70" t="s">
        <v>228</v>
      </c>
      <c r="B90" s="31" t="s">
        <v>531</v>
      </c>
      <c r="C90" s="182"/>
      <c r="D90" s="13"/>
      <c r="E90" s="10" t="str">
        <f>IF(C90="","",IF(C90="Yes","Summarize the utilized technology and provide references to how it is implemented in the product/system.",""))</f>
        <v/>
      </c>
    </row>
    <row r="91" spans="1:5" ht="54" customHeight="1" x14ac:dyDescent="0.2">
      <c r="A91" s="70" t="s">
        <v>229</v>
      </c>
      <c r="B91" s="31" t="s">
        <v>134</v>
      </c>
      <c r="C91" s="12"/>
      <c r="D91" s="13"/>
      <c r="E91" s="10" t="str">
        <f>IF(C91="","",IF(C91="Yes","Describe all authentication services supported by the system.","Describe any plans to support external authentication services in place of local authentication."))</f>
        <v/>
      </c>
    </row>
    <row r="92" spans="1:5" ht="54" customHeight="1" x14ac:dyDescent="0.2">
      <c r="A92" s="70" t="s">
        <v>230</v>
      </c>
      <c r="B92" s="31" t="s">
        <v>95</v>
      </c>
      <c r="C92" s="182"/>
      <c r="D92" s="13"/>
      <c r="E92" s="10" t="str">
        <f>IF(C92="","",IF(C92="Yes","Provide a detailed description of your mixed authentication mode practices.","Describe any plans to use mixed authentication modes."))</f>
        <v/>
      </c>
    </row>
    <row r="93" spans="1:5" ht="47.1" customHeight="1" x14ac:dyDescent="0.2">
      <c r="A93" s="70" t="s">
        <v>231</v>
      </c>
      <c r="B93" s="31" t="s">
        <v>532</v>
      </c>
      <c r="C93" s="182"/>
      <c r="D93" s="13"/>
      <c r="E93" s="10" t="str">
        <f>IF(C93="","",IF(C93="Yes","Summarize the utilized technology and provide references to how it is implemented in the product/system.",""))</f>
        <v/>
      </c>
    </row>
    <row r="94" spans="1:5" ht="48" customHeight="1" x14ac:dyDescent="0.2">
      <c r="A94" s="70" t="s">
        <v>232</v>
      </c>
      <c r="B94" s="31" t="s">
        <v>555</v>
      </c>
      <c r="C94" s="12"/>
      <c r="D94" s="13"/>
      <c r="E94" s="10" t="str">
        <f>IF(C94="","",IF(C94="Yes","Ensure that all elements of AAAI-15 are evaluated for your response. Provide a description of logging capabilities.","Describe any plans to enable audit logs for these data elements."))</f>
        <v/>
      </c>
    </row>
    <row r="95" spans="1:5" ht="96" customHeight="1" x14ac:dyDescent="0.2">
      <c r="A95" s="70" t="s">
        <v>233</v>
      </c>
      <c r="B95" s="31" t="s">
        <v>2086</v>
      </c>
      <c r="C95" s="261"/>
      <c r="D95" s="261"/>
      <c r="E95" s="10" t="s">
        <v>2583</v>
      </c>
    </row>
    <row r="96" spans="1:5" ht="84" customHeight="1" x14ac:dyDescent="0.2">
      <c r="A96" s="70" t="s">
        <v>234</v>
      </c>
      <c r="B96" s="31" t="s">
        <v>453</v>
      </c>
      <c r="C96" s="261"/>
      <c r="D96" s="261"/>
      <c r="E96" s="10" t="s">
        <v>2584</v>
      </c>
    </row>
    <row r="97" spans="1:5" ht="36" customHeight="1" x14ac:dyDescent="0.2">
      <c r="A97" s="263" t="str">
        <f>IF(OR($C$27="No",$C$30="Yes"),"BCP - Respond to as many questions below as possible.","Business Continuity Plan")</f>
        <v>Business Continuity Plan</v>
      </c>
      <c r="B97" s="263"/>
      <c r="C97" s="26" t="s">
        <v>13</v>
      </c>
      <c r="D97" s="26" t="s">
        <v>14</v>
      </c>
      <c r="E97" s="7" t="s">
        <v>15</v>
      </c>
    </row>
    <row r="98" spans="1:5" ht="48" customHeight="1" x14ac:dyDescent="0.2">
      <c r="A98" s="15" t="s">
        <v>217</v>
      </c>
      <c r="B98" s="31" t="s">
        <v>556</v>
      </c>
      <c r="C98" s="262"/>
      <c r="D98" s="261"/>
      <c r="E98" s="10" t="s">
        <v>2586</v>
      </c>
    </row>
    <row r="99" spans="1:5" ht="47.1" customHeight="1" x14ac:dyDescent="0.2">
      <c r="A99" s="15" t="s">
        <v>235</v>
      </c>
      <c r="B99" s="31" t="s">
        <v>2585</v>
      </c>
      <c r="C99" s="12"/>
      <c r="D99" s="13"/>
      <c r="E99" s="10" t="str">
        <f>IF(C99="","",IF(C99="Yes","Provide a reference to your BCP and supporting documentation or submit it along with this fully-populated HECVAT.","Briefly summarize your response."))</f>
        <v/>
      </c>
    </row>
    <row r="100" spans="1:5" ht="47.1" customHeight="1" x14ac:dyDescent="0.2">
      <c r="A100" s="15" t="s">
        <v>236</v>
      </c>
      <c r="B100" s="31" t="s">
        <v>120</v>
      </c>
      <c r="C100" s="12"/>
      <c r="D100" s="105"/>
      <c r="E100" s="10" t="str">
        <f>IF(C100="","",IF(C100="Yes","Provide additional details, as needed.","Describe any plans to define a BCP owner responsible for maintenance and review."))</f>
        <v/>
      </c>
    </row>
    <row r="101" spans="1:5" ht="47.1" customHeight="1" x14ac:dyDescent="0.2">
      <c r="A101" s="15" t="s">
        <v>237</v>
      </c>
      <c r="B101" s="31" t="s">
        <v>123</v>
      </c>
      <c r="C101" s="12"/>
      <c r="D101" s="13"/>
      <c r="E101" s="10" t="str">
        <f>IF(C101="","",IF(C101="Yes","Summarize your defined problem/issue escalation plan contained in your BCP.","Describe any plans to define a problem/issue escalation plan in your BCP."))</f>
        <v/>
      </c>
    </row>
    <row r="102" spans="1:5" ht="47.1" customHeight="1" x14ac:dyDescent="0.2">
      <c r="A102" s="15" t="s">
        <v>238</v>
      </c>
      <c r="B102" s="31" t="s">
        <v>124</v>
      </c>
      <c r="C102" s="12"/>
      <c r="D102" s="13"/>
      <c r="E102" s="10" t="str">
        <f>IF(C102="","",IF(C102="Yes","Summarize your documented communication plan contained in your BCP.","Describe any plans to document a communication plan in your BCP."))</f>
        <v/>
      </c>
    </row>
    <row r="103" spans="1:5" ht="48" customHeight="1" x14ac:dyDescent="0.2">
      <c r="A103" s="15" t="s">
        <v>239</v>
      </c>
      <c r="B103" s="31" t="s">
        <v>557</v>
      </c>
      <c r="C103" s="12"/>
      <c r="D103" s="13"/>
      <c r="E103" s="10" t="str">
        <f>IF(C103="","",IF(C103="Yes","Describe your BCP component review strategy.","Describe any plans to annually review and update (as needed) your BCP."))</f>
        <v/>
      </c>
    </row>
    <row r="104" spans="1:5" ht="48" customHeight="1" x14ac:dyDescent="0.2">
      <c r="A104" s="15" t="s">
        <v>240</v>
      </c>
      <c r="B104" s="31" t="s">
        <v>2087</v>
      </c>
      <c r="C104" s="12"/>
      <c r="D104" s="13"/>
      <c r="E104" s="10" t="str">
        <f>IF(C104="","",IF(C104="Yes","State the date of your last BCP test.","Describe your strategy to implement annual BCP testing."))</f>
        <v/>
      </c>
    </row>
    <row r="105" spans="1:5" ht="47.1" customHeight="1" x14ac:dyDescent="0.2">
      <c r="A105" s="15" t="s">
        <v>241</v>
      </c>
      <c r="B105" s="31" t="s">
        <v>125</v>
      </c>
      <c r="C105" s="12"/>
      <c r="D105" s="13"/>
      <c r="E105" s="10" t="str">
        <f>IF(C105="","",IF(C105="Yes","Describe your training and awareness activities.","State your plans to implement training and awareness activities focused on roles and responsibilities during a crisis."))</f>
        <v/>
      </c>
    </row>
    <row r="106" spans="1:5" ht="47.1" customHeight="1" x14ac:dyDescent="0.2">
      <c r="A106" s="15" t="s">
        <v>242</v>
      </c>
      <c r="B106" s="31" t="s">
        <v>126</v>
      </c>
      <c r="C106" s="12"/>
      <c r="D106" s="13"/>
      <c r="E106" s="10" t="str">
        <f>IF(C106="","",IF(C106="Yes","Summarize these crisis management roles and responsibilities.","State your plans to define and document crisis management roles and responsibilities."))</f>
        <v/>
      </c>
    </row>
    <row r="107" spans="1:5" ht="47.1" customHeight="1" x14ac:dyDescent="0.2">
      <c r="A107" s="15" t="s">
        <v>243</v>
      </c>
      <c r="B107" s="31" t="s">
        <v>127</v>
      </c>
      <c r="C107" s="12"/>
      <c r="D107" s="13"/>
      <c r="E107" s="10" t="str">
        <f>IF(C107="","",IF(C107="Yes","Provide the distance (in miles) between the primary and secondary locations.","Describe your plans to coordinate an alternative business site or contract with a business recovery provider?"))</f>
        <v/>
      </c>
    </row>
    <row r="108" spans="1:5" ht="47.1" customHeight="1" x14ac:dyDescent="0.2">
      <c r="A108" s="15" t="s">
        <v>244</v>
      </c>
      <c r="B108" s="31" t="s">
        <v>2674</v>
      </c>
      <c r="C108" s="12"/>
      <c r="D108" s="13"/>
      <c r="E108" s="10" t="str">
        <f>IF(C108="","",IF(C108="Yes","State the date of your last alternate site relocation test.","Describe your strategy to implement annual alternate site relocation testing."))</f>
        <v/>
      </c>
    </row>
    <row r="109" spans="1:5" ht="64.349999999999994" customHeight="1" x14ac:dyDescent="0.2">
      <c r="A109" s="15" t="s">
        <v>245</v>
      </c>
      <c r="B109" s="31" t="s">
        <v>2088</v>
      </c>
      <c r="C109" s="12"/>
      <c r="D109" s="13"/>
      <c r="E109" s="10" t="str">
        <f>IF(C109="","",IF(C109="Yes","Provide a brief summary to support your selection.","Summarize this product's restoration priority in your BCP."))</f>
        <v/>
      </c>
    </row>
    <row r="110" spans="1:5" ht="36" customHeight="1" x14ac:dyDescent="0.2">
      <c r="A110" s="263" t="str">
        <f>IF($C$30="","Change Management",IF($C$30="Yes","Change Management - Optional based on QUALIFIER response.","Change Management"))</f>
        <v>Change Management</v>
      </c>
      <c r="B110" s="263"/>
      <c r="C110" s="26" t="s">
        <v>13</v>
      </c>
      <c r="D110" s="26" t="s">
        <v>14</v>
      </c>
      <c r="E110" s="7" t="s">
        <v>15</v>
      </c>
    </row>
    <row r="111" spans="1:5" ht="48" customHeight="1" x14ac:dyDescent="0.2">
      <c r="A111" s="15" t="s">
        <v>246</v>
      </c>
      <c r="B111" s="31" t="s">
        <v>102</v>
      </c>
      <c r="C111" s="12"/>
      <c r="D111" s="13"/>
      <c r="E111" s="10" t="str">
        <f>IF(C111="","",IF(C111="Yes","Summarize your current change management process.","Describe current plans to implement a change management process."))</f>
        <v/>
      </c>
    </row>
    <row r="112" spans="1:5" ht="80.099999999999994" customHeight="1" x14ac:dyDescent="0.2">
      <c r="A112" s="15" t="s">
        <v>247</v>
      </c>
      <c r="B112" s="31" t="s">
        <v>515</v>
      </c>
      <c r="C112" s="262"/>
      <c r="D112" s="261"/>
      <c r="E112" s="10" t="s">
        <v>2587</v>
      </c>
    </row>
    <row r="113" spans="1:256" ht="64.349999999999994" customHeight="1" x14ac:dyDescent="0.2">
      <c r="A113" s="15" t="s">
        <v>248</v>
      </c>
      <c r="B113" s="31" t="s">
        <v>2089</v>
      </c>
      <c r="C113" s="12"/>
      <c r="D113" s="140"/>
      <c r="E113" s="136" t="str">
        <f>IF(C113="","",IF(C113="Yes","State how and when the Institution will be notified of major changes to your environment.","Describe plans to establish a notification mechanism for major environmental changes."))</f>
        <v/>
      </c>
    </row>
    <row r="114" spans="1:256" ht="64.349999999999994" customHeight="1" x14ac:dyDescent="0.2">
      <c r="A114" s="15" t="s">
        <v>249</v>
      </c>
      <c r="B114" s="31" t="s">
        <v>99</v>
      </c>
      <c r="C114" s="12"/>
      <c r="D114" s="139"/>
      <c r="E114" s="10" t="str">
        <f>IF(C114="","",IF(C114="Yes","Provide reference the the process/procedure to manage releases.","Summarize why clients do not have alternative release option."))</f>
        <v/>
      </c>
    </row>
    <row r="115" spans="1:256" ht="64.349999999999994" customHeight="1" x14ac:dyDescent="0.2">
      <c r="A115" s="15" t="s">
        <v>250</v>
      </c>
      <c r="B115" s="31" t="s">
        <v>458</v>
      </c>
      <c r="C115" s="262"/>
      <c r="D115" s="261"/>
      <c r="E115" s="10" t="s">
        <v>2588</v>
      </c>
    </row>
    <row r="116" spans="1:256" ht="64.349999999999994" customHeight="1" x14ac:dyDescent="0.2">
      <c r="A116" s="15" t="s">
        <v>251</v>
      </c>
      <c r="B116" s="31" t="s">
        <v>113</v>
      </c>
      <c r="C116" s="262"/>
      <c r="D116" s="261"/>
      <c r="E116" s="10" t="s">
        <v>2589</v>
      </c>
    </row>
    <row r="117" spans="1:256" ht="64.349999999999994" customHeight="1" x14ac:dyDescent="0.2">
      <c r="A117" s="15" t="s">
        <v>252</v>
      </c>
      <c r="B117" s="31" t="s">
        <v>2090</v>
      </c>
      <c r="C117" s="12"/>
      <c r="D117" s="139"/>
      <c r="E117" s="10" t="str">
        <f>IF(C117="","",IF(C117="Yes","Describe how this is accomplished within your system.","Describe any business or technical reasons why customizations are not supported."))</f>
        <v/>
      </c>
    </row>
    <row r="118" spans="1:256" ht="64.349999999999994" customHeight="1" x14ac:dyDescent="0.2">
      <c r="A118" s="15" t="s">
        <v>253</v>
      </c>
      <c r="B118" s="31" t="s">
        <v>2094</v>
      </c>
      <c r="C118" s="12"/>
      <c r="D118" s="139"/>
      <c r="E118" s="10" t="str">
        <f>IF(C118="","",IF(C118="Yes","Describe how this is accomplished within your environment.","Describe your plans to ensure that only application software verifiable as authorized, tested, and approved for production, is placed into production."))</f>
        <v/>
      </c>
    </row>
    <row r="119" spans="1:256" ht="64.349999999999994" customHeight="1" x14ac:dyDescent="0.2">
      <c r="A119" s="15" t="s">
        <v>254</v>
      </c>
      <c r="B119" s="31" t="s">
        <v>2095</v>
      </c>
      <c r="C119" s="12"/>
      <c r="D119" s="139"/>
      <c r="E119" s="10" t="str">
        <f>IF(C119="","",IF(C119="Yes","Provide a reference to this product's release schedule.","State any plans to release a schedule of product updates."))</f>
        <v/>
      </c>
    </row>
    <row r="120" spans="1:256" ht="64.349999999999994" customHeight="1" x14ac:dyDescent="0.2">
      <c r="A120" s="15" t="s">
        <v>255</v>
      </c>
      <c r="B120" s="31" t="s">
        <v>2096</v>
      </c>
      <c r="C120" s="12"/>
      <c r="D120" s="139"/>
      <c r="E120" s="10" t="str">
        <f>IF(C120="","",IF(C120="Yes","Provide a reference to your technology roadmap.","State any plans to release a technology roadmap covering the next two years."))</f>
        <v/>
      </c>
    </row>
    <row r="121" spans="1:256" ht="64.349999999999994" customHeight="1" x14ac:dyDescent="0.2">
      <c r="A121" s="15" t="s">
        <v>256</v>
      </c>
      <c r="B121" s="31" t="s">
        <v>2097</v>
      </c>
      <c r="C121" s="12"/>
      <c r="D121" s="139"/>
      <c r="E121" s="10" t="str">
        <f>IF(C121="","",IF(C121="Yes","Summarize the Institution's responsibilities during product updates.",""))</f>
        <v/>
      </c>
    </row>
    <row r="122" spans="1:256" ht="64.349999999999994" customHeight="1" x14ac:dyDescent="0.2">
      <c r="A122" s="15" t="s">
        <v>257</v>
      </c>
      <c r="B122" s="31" t="s">
        <v>2098</v>
      </c>
      <c r="C122" s="12"/>
      <c r="D122" s="139"/>
      <c r="E122" s="10" t="str">
        <f>IF(C122="","",IF(C122="Yes","Summarize the policy and procedure(s) managing how critical patches are applied to systems and applications.","State your plans to implement policy and procedure(s) to manage how critical patches are applied to systems and applications."))</f>
        <v/>
      </c>
    </row>
    <row r="123" spans="1:256" ht="64.349999999999994" customHeight="1" x14ac:dyDescent="0.2">
      <c r="A123" s="15" t="s">
        <v>258</v>
      </c>
      <c r="B123" s="31" t="s">
        <v>2099</v>
      </c>
      <c r="C123" s="12"/>
      <c r="D123" s="139"/>
      <c r="E123" s="10" t="str">
        <f>IF(C123="","",IF(C123="Yes","Summarize the policy and procedure(s) guiding risk mitigation practices before critical patches can be applied.","State your plans to implement policy and procedure(s) guiding risk mitigation practices before critical patches can be applied."))</f>
        <v/>
      </c>
    </row>
    <row r="124" spans="1:256" ht="48" customHeight="1" x14ac:dyDescent="0.2">
      <c r="A124" s="15" t="s">
        <v>259</v>
      </c>
      <c r="B124" s="31" t="s">
        <v>103</v>
      </c>
      <c r="C124" s="12"/>
      <c r="D124" s="139"/>
      <c r="E124" s="10" t="str">
        <f>IF(C124="","",IF(C124="Yes","Define current off-peak hours.","Decribe plans to minimize the impact of downtime based on predefined off-peak hours."))</f>
        <v/>
      </c>
    </row>
    <row r="125" spans="1:256" ht="48" customHeight="1" x14ac:dyDescent="0.2">
      <c r="A125" s="15" t="s">
        <v>260</v>
      </c>
      <c r="B125" s="31" t="s">
        <v>104</v>
      </c>
      <c r="C125" s="12"/>
      <c r="D125" s="139"/>
      <c r="E125" s="10" t="str">
        <f>IF(C125="","",IF(C125="Yes","Summarize implemented procedures ensuring that emergency changes are documented and authorized.","Describe plans to implement procedure ensuring that emergency changes are documented and authorized."))</f>
        <v/>
      </c>
    </row>
    <row r="126" spans="1:256" ht="36" customHeight="1" x14ac:dyDescent="0.2">
      <c r="A126" s="263" t="str">
        <f>IF($C$30="","Data",IF($C$30="Yes","Data - Optional based on QUALIFIER response.","Data"))</f>
        <v>Data</v>
      </c>
      <c r="B126" s="263"/>
      <c r="C126" s="26" t="s">
        <v>13</v>
      </c>
      <c r="D126" s="26" t="s">
        <v>14</v>
      </c>
      <c r="E126" s="7" t="s">
        <v>15</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48" customHeight="1" x14ac:dyDescent="0.2">
      <c r="A127" s="70" t="s">
        <v>261</v>
      </c>
      <c r="B127" s="31" t="s">
        <v>2100</v>
      </c>
      <c r="C127" s="24"/>
      <c r="D127" s="33"/>
      <c r="E127" s="10" t="str">
        <f>IF(C127="","",IF(C127="Yes","Describe or provide a reference to how institution data is physically and logically separated from that of other customers.","Describe your plan to physically and logically separate Institution's data from other customers."))</f>
        <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48" customHeight="1" x14ac:dyDescent="0.2">
      <c r="A128" s="70" t="s">
        <v>262</v>
      </c>
      <c r="B128" s="31" t="s">
        <v>558</v>
      </c>
      <c r="C128" s="24"/>
      <c r="D128" s="33"/>
      <c r="E128" s="10" t="str">
        <f>IF(C128="","",IF(C128="Yes","State the need for this strategy, in detail.",""))</f>
        <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48" customHeight="1" x14ac:dyDescent="0.2">
      <c r="A129" s="70" t="s">
        <v>263</v>
      </c>
      <c r="B129" s="31" t="s">
        <v>2593</v>
      </c>
      <c r="C129" s="24"/>
      <c r="D129" s="33"/>
      <c r="E129" s="10" t="str">
        <f>IF(C129="","",IF(C129="Yes","Summarize your transport encryption strategy.","Decribe why sensitive data in not encrypted in transport."))</f>
        <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48" customHeight="1" x14ac:dyDescent="0.2">
      <c r="A130" s="70" t="s">
        <v>264</v>
      </c>
      <c r="B130" s="31" t="s">
        <v>483</v>
      </c>
      <c r="C130" s="24"/>
      <c r="D130" s="33"/>
      <c r="E130" s="10" t="str">
        <f>IF(C130="","",IF(C130="Yes","Summarize your data encryption strategy.","Decribe why sensitive data in not encrypted in storage."))</f>
        <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48" customHeight="1" x14ac:dyDescent="0.2">
      <c r="A131" s="70" t="s">
        <v>265</v>
      </c>
      <c r="B131" s="31" t="s">
        <v>460</v>
      </c>
      <c r="C131" s="24"/>
      <c r="D131" s="33"/>
      <c r="E131" s="10" t="str">
        <f>IF(C131="","",IF(C131="Yes","Provide a detailed description of all non-conforming modules.",""))</f>
        <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65.099999999999994" customHeight="1" x14ac:dyDescent="0.2">
      <c r="A132" s="70" t="s">
        <v>266</v>
      </c>
      <c r="B132" s="31" t="s">
        <v>2594</v>
      </c>
      <c r="C132" s="24"/>
      <c r="D132" s="33"/>
      <c r="E132" s="10" t="str">
        <f>IF(C132="","","Include all types of encryption; remote-access, application/database, end-user-to-system, etc.")</f>
        <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60" customHeight="1" x14ac:dyDescent="0.2">
      <c r="A133" s="70" t="s">
        <v>267</v>
      </c>
      <c r="B133" s="31" t="s">
        <v>533</v>
      </c>
      <c r="C133" s="272"/>
      <c r="D133" s="273"/>
      <c r="E133" s="10" t="s">
        <v>2590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48" customHeight="1" x14ac:dyDescent="0.2">
      <c r="A134" s="70" t="s">
        <v>268</v>
      </c>
      <c r="B134" s="31" t="s">
        <v>534</v>
      </c>
      <c r="C134" s="24"/>
      <c r="D134" s="106"/>
      <c r="E134" s="10" t="str">
        <f>IF(C134="","",IF(C134="Yes","Describe how data will be returned to the institution and in what format will it be presented.","Summarize why the institution's data won't be returned."))</f>
        <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48" customHeight="1" x14ac:dyDescent="0.2">
      <c r="A135" s="70" t="s">
        <v>269</v>
      </c>
      <c r="B135" s="31" t="s">
        <v>2595</v>
      </c>
      <c r="C135" s="24"/>
      <c r="D135" s="106"/>
      <c r="E135" s="10" t="str">
        <f>IF(C135="","",IF(C135="Yes","State the length of time that Institution's data will be available in the system at the completion of the contract.","Describe your data export procedures conducted at the termination of contract."))</f>
        <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48" customHeight="1" x14ac:dyDescent="0.2">
      <c r="A136" s="70" t="s">
        <v>270</v>
      </c>
      <c r="B136" s="31" t="s">
        <v>535</v>
      </c>
      <c r="C136" s="24"/>
      <c r="D136" s="33"/>
      <c r="E136" s="10" t="str">
        <f>IF(C136="","",IF(C136="Yes","Describe frequency and procedures for obtaining a full backup of data.","Summarize why the institution cannot extract a full backup of its data."))</f>
        <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48" customHeight="1" x14ac:dyDescent="0.2">
      <c r="A137" s="70" t="s">
        <v>271</v>
      </c>
      <c r="B137" s="31" t="s">
        <v>2596</v>
      </c>
      <c r="C137" s="24"/>
      <c r="D137" s="33"/>
      <c r="E137" s="10" t="str">
        <f>IF(C137="","",IF(C137="Yes","Provide reference to your data ownership documention.","Describe in detail why ownership rights are not retained by the institution."))</f>
        <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48" customHeight="1" x14ac:dyDescent="0.2">
      <c r="A138" s="70" t="s">
        <v>272</v>
      </c>
      <c r="B138" s="31" t="s">
        <v>100</v>
      </c>
      <c r="C138" s="24"/>
      <c r="D138" s="33"/>
      <c r="E138" s="10" t="str">
        <f>IF(C138="","",IF(C138="Yes","Provide references, as needed.","Provide a detailed description why rights are not retained."))</f>
        <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54" customHeight="1" x14ac:dyDescent="0.2">
      <c r="A139" s="70" t="s">
        <v>273</v>
      </c>
      <c r="B139" s="31" t="s">
        <v>101</v>
      </c>
      <c r="C139" s="24"/>
      <c r="D139" s="33"/>
      <c r="E139" s="10" t="str">
        <f>IF(C139="","",IF(C139="Yes","State how the institution will be notified of imminent termination.","Provide a detailed summary to support your selection."))</f>
        <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x14ac:dyDescent="0.2">
      <c r="A140" s="70" t="s">
        <v>274</v>
      </c>
      <c r="B140" s="31" t="s">
        <v>454</v>
      </c>
      <c r="C140" s="272"/>
      <c r="D140" s="273"/>
      <c r="E140" s="10" t="s">
        <v>2591</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
      <c r="A141" s="15" t="s">
        <v>275</v>
      </c>
      <c r="B141" s="31" t="s">
        <v>106</v>
      </c>
      <c r="C141" s="24"/>
      <c r="D141" s="33"/>
      <c r="E141" s="10" t="str">
        <f>IF(C141="","",IF(C141="Yes","Summarize your backup scheduling strategy.","Describe plans to implement pre-defined schedules for secure backups."))</f>
        <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5" t="s">
        <v>276</v>
      </c>
      <c r="B142" s="31" t="s">
        <v>24</v>
      </c>
      <c r="C142" s="272"/>
      <c r="D142" s="273"/>
      <c r="E142" s="10" t="s">
        <v>2592</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
      <c r="A143" s="15" t="s">
        <v>277</v>
      </c>
      <c r="B143" s="31" t="s">
        <v>559</v>
      </c>
      <c r="C143" s="24"/>
      <c r="D143" s="106"/>
      <c r="E143" s="10" t="str">
        <f>IF(C143="","",IF(C143="Yes","Summarize the encryption algorithm/strategy you are using to secure backups.","Summarize why backups are not encrypted."))</f>
        <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72" customHeight="1" x14ac:dyDescent="0.2">
      <c r="A144" s="15" t="s">
        <v>278</v>
      </c>
      <c r="B144" s="31" t="s">
        <v>2676</v>
      </c>
      <c r="C144" s="24"/>
      <c r="D144" s="34"/>
      <c r="E144" s="10" t="str">
        <f>IF(C144="","",IF(C144="Yes","Summarize your cryptographic key management process.","Provide a brief summary supporting your response."))</f>
        <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5" t="s">
        <v>279</v>
      </c>
      <c r="B145" s="31" t="s">
        <v>560</v>
      </c>
      <c r="C145" s="24"/>
      <c r="D145" s="33"/>
      <c r="E145" s="10" t="str">
        <f>IF(C145="","",IF(C145="Yes","Decribe your overall strategy to accomplish these elements.","State plans to include the elements listed in DATA-20 in your backup strategy."))</f>
        <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48" customHeight="1" x14ac:dyDescent="0.2">
      <c r="A146" s="15" t="s">
        <v>280</v>
      </c>
      <c r="B146" s="31" t="s">
        <v>2597</v>
      </c>
      <c r="C146" s="24"/>
      <c r="D146" s="33"/>
      <c r="E146" s="10" t="str">
        <f>IF(C146="","",IF(C146="Yes","Summarize your off site backup strategy.","State any plans to implement off site physical backups in your environment."))</f>
        <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2">
      <c r="A147" s="15" t="s">
        <v>281</v>
      </c>
      <c r="B147" s="31" t="s">
        <v>561</v>
      </c>
      <c r="C147" s="24"/>
      <c r="D147" s="33"/>
      <c r="E147" s="10" t="str">
        <f>IF(C147="","",IF(C147="Yes","Provide the distance (in miles) between the primary and off-site locations.","State any plans to implement off site physical backups in your environment."))</f>
        <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5" t="s">
        <v>282</v>
      </c>
      <c r="B148" s="31" t="s">
        <v>2658</v>
      </c>
      <c r="C148" s="24"/>
      <c r="D148" s="33"/>
      <c r="E148" s="10" t="str">
        <f>IF(C148="","",IF(C148="Yes","Summarize why backups containing the Institution's data leave the Institution's data zone.",""))</f>
        <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3.349999999999994" customHeight="1" x14ac:dyDescent="0.2">
      <c r="A149" s="15" t="s">
        <v>283</v>
      </c>
      <c r="B149" s="31" t="s">
        <v>2675</v>
      </c>
      <c r="C149" s="24"/>
      <c r="D149" s="209"/>
      <c r="E149" s="210" t="str">
        <f>IF(C149="","",IF(C149="Yes","Provide details of these procedures (link or attached).","Provide a detailed summary for this response."))</f>
        <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5" t="s">
        <v>284</v>
      </c>
      <c r="B150" s="31" t="s">
        <v>2686</v>
      </c>
      <c r="C150" s="24"/>
      <c r="D150" s="33"/>
      <c r="E150" s="10" t="str">
        <f>IF(C150="","",IF(C150="Yes","","State plans to adhere to DoD 5220.22-M and/or NIST SP 800-88 standards."))</f>
        <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5" t="s">
        <v>285</v>
      </c>
      <c r="B151" s="31" t="s">
        <v>108</v>
      </c>
      <c r="C151" s="24"/>
      <c r="D151" s="33"/>
      <c r="E151" s="10" t="str">
        <f>IF(C151="","",IF(C151="Yes","Provide a general summary of your long-term data retention strategy.","State plans to implement a long-term data retention strategy."))</f>
        <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5" t="s">
        <v>286</v>
      </c>
      <c r="B152" s="31" t="s">
        <v>107</v>
      </c>
      <c r="C152" s="24"/>
      <c r="D152" s="33"/>
      <c r="E152" s="10" t="str">
        <f>IF(C152="","",IF(C152="Yes","Provide a general summary of your archival environment.","State plans to store long-term media in environmentally protected areas."))</f>
        <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2">
      <c r="A153" s="15" t="s">
        <v>287</v>
      </c>
      <c r="B153" s="31" t="s">
        <v>25</v>
      </c>
      <c r="C153" s="24"/>
      <c r="D153" s="33"/>
      <c r="E153" s="10" t="str">
        <f>IF(C153="","",IF(C153="Yes","Describe how FERPA compliance is integrated into your process and procedures.","State plans to handle data in a FERPA compliant manner."))</f>
        <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5" t="s">
        <v>288</v>
      </c>
      <c r="B154" s="31" t="s">
        <v>536</v>
      </c>
      <c r="C154" s="24"/>
      <c r="D154" s="13"/>
      <c r="E154" s="10" t="str">
        <f>IF(C154="","",IF(C154="Yes","Summarize why the Institution's data is visible in system adminitration modules/tools.",""))</f>
        <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36" customHeight="1" x14ac:dyDescent="0.2">
      <c r="A155" s="263" t="str">
        <f>IF($C$30="","Database",IF($C$30="Yes","Database - Optional based on QUALIFIER response.","Database"))</f>
        <v>Database</v>
      </c>
      <c r="B155" s="263"/>
      <c r="C155" s="26" t="s">
        <v>13</v>
      </c>
      <c r="D155" s="26" t="s">
        <v>14</v>
      </c>
      <c r="E155" s="7" t="s">
        <v>15</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5" t="s">
        <v>289</v>
      </c>
      <c r="B156" s="31" t="s">
        <v>26</v>
      </c>
      <c r="C156" s="12"/>
      <c r="D156" s="13"/>
      <c r="E156" s="10" t="str">
        <f>IF(C156="","",IF(C156="Yes","Describe the type of encryption that is supported.","State plans to support database encryption (in storage) of specified data elements."))</f>
        <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5" t="s">
        <v>290</v>
      </c>
      <c r="B157" s="31" t="s">
        <v>574</v>
      </c>
      <c r="C157" s="12"/>
      <c r="D157" s="13"/>
      <c r="E157" s="10" t="str">
        <f>IF(C157="","",IF(C157="Yes","Describe how encryption is leveraged in your database(s).","Describe plans to implement encryption in your database(s)"))</f>
        <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36" customHeight="1" x14ac:dyDescent="0.2">
      <c r="A158" s="263" t="str">
        <f>IF($C$30="","Datacenter",IF($C$30="Yes","Datacenter - Optional based on QUALIFIER response.","Datacenter"))</f>
        <v>Datacenter</v>
      </c>
      <c r="B158" s="263"/>
      <c r="C158" s="26" t="s">
        <v>13</v>
      </c>
      <c r="D158" s="26" t="s">
        <v>14</v>
      </c>
      <c r="E158" s="7" t="s">
        <v>15</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9.35" customHeight="1" x14ac:dyDescent="0.2">
      <c r="A159" s="15" t="s">
        <v>291</v>
      </c>
      <c r="B159" s="31" t="s">
        <v>562</v>
      </c>
      <c r="C159" s="12"/>
      <c r="D159" s="13"/>
      <c r="E159" s="10" t="str">
        <f>IF(C159="","",IF(C159="Yes","Provide a brief summary of your data center.","Provide a detailed description of where the Institution's data will reside."))</f>
        <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5" t="s">
        <v>292</v>
      </c>
      <c r="B160" s="31" t="s">
        <v>516</v>
      </c>
      <c r="C160" s="12"/>
      <c r="D160" s="13"/>
      <c r="E160" s="10" t="str">
        <f>IF(C160="","",IF(C160="Yes","Obtain the report if possible and add it to your submission.",""))</f>
        <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5" t="s">
        <v>293</v>
      </c>
      <c r="B161" s="31" t="s">
        <v>563</v>
      </c>
      <c r="C161" s="12"/>
      <c r="D161" s="13"/>
      <c r="E161" s="10" t="str">
        <f>IF(C161="","",IF(C161="Yes","Describe the on-site staff capabilities.","State any plans to staff data centers 24x7x365."))</f>
        <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7.1" customHeight="1" x14ac:dyDescent="0.2">
      <c r="A162" s="15" t="s">
        <v>294</v>
      </c>
      <c r="B162" s="31" t="s">
        <v>27</v>
      </c>
      <c r="C162" s="12"/>
      <c r="D162" s="13"/>
      <c r="E162" s="10" t="str">
        <f>IF(C162="","",IF(C162="Yes","Provide a brief summary of this arrangement.",""))</f>
        <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7.1" customHeight="1" x14ac:dyDescent="0.2">
      <c r="A163" s="15" t="s">
        <v>295</v>
      </c>
      <c r="B163" s="31" t="s">
        <v>28</v>
      </c>
      <c r="C163" s="12"/>
      <c r="D163" s="13"/>
      <c r="E163" s="10" t="str">
        <f>IF(C163="","",IF(C163="Yes","Describe your physical barrier strategy.","State plans to separate your servers for others via a physical barrier."))</f>
        <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5" t="s">
        <v>296</v>
      </c>
      <c r="B164" s="31" t="s">
        <v>2677</v>
      </c>
      <c r="C164" s="12"/>
      <c r="D164" s="13"/>
      <c r="E164" s="10" t="str">
        <f>IF(C164="","",IF(C164="Yes","Elaborate on your DCTR-05 response, as needed.","State plans to implement a physical barrier to prevent physical contact with any of your devices."))</f>
        <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7.1" customHeight="1" x14ac:dyDescent="0.2">
      <c r="A165" s="15" t="s">
        <v>297</v>
      </c>
      <c r="B165" s="31" t="s">
        <v>30</v>
      </c>
      <c r="C165" s="12"/>
      <c r="D165" s="13"/>
      <c r="E165" s="10" t="s">
        <v>2598</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2">
      <c r="A166" s="15" t="s">
        <v>298</v>
      </c>
      <c r="B166" s="31" t="s">
        <v>2115</v>
      </c>
      <c r="C166" s="12"/>
      <c r="D166" s="13"/>
      <c r="E166" s="10" t="str">
        <f>IF(C166="","",IF(C166="Yes","State the location of the data center and summarize the strategy for this implementation.",""))</f>
        <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5" t="s">
        <v>299</v>
      </c>
      <c r="B167" s="31" t="s">
        <v>2630</v>
      </c>
      <c r="C167" s="12"/>
      <c r="D167" s="13"/>
      <c r="E167" s="10" t="str">
        <f>IF(C167="","",IF(C167="Yes","Summarize the strategy for removing Institution's data from its Data Zone.",""))</f>
        <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64.349999999999994" customHeight="1" x14ac:dyDescent="0.2">
      <c r="A168" s="15" t="s">
        <v>300</v>
      </c>
      <c r="B168" s="31" t="s">
        <v>2660</v>
      </c>
      <c r="C168" s="261"/>
      <c r="D168" s="261"/>
      <c r="E168" s="10" t="s">
        <v>2599</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54" customHeight="1" x14ac:dyDescent="0.2">
      <c r="A169" s="15" t="s">
        <v>301</v>
      </c>
      <c r="B169" s="31" t="s">
        <v>29</v>
      </c>
      <c r="C169" s="12"/>
      <c r="D169" s="13"/>
      <c r="E169" s="10" t="str">
        <f>IF(C169="","",IF(C169="Yes","State your primary and secondary data center locations. For cloud infrastructures, state the primary and secondary zones.","Decribe any plans to implement a geographically diverse infrastructure."))</f>
        <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2">
      <c r="A170" s="15" t="s">
        <v>302</v>
      </c>
      <c r="B170" s="31" t="s">
        <v>2631</v>
      </c>
      <c r="C170" s="12"/>
      <c r="D170" s="13"/>
      <c r="E170" s="10" t="str">
        <f>IF(C170="","",IF(C170="Yes","Summarize details of the contract, where applicable.","State any plans to implement data location elements in future contracts."))</f>
        <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64.349999999999994" customHeight="1" x14ac:dyDescent="0.2">
      <c r="A171" s="15" t="s">
        <v>303</v>
      </c>
      <c r="B171" s="31" t="s">
        <v>105</v>
      </c>
      <c r="C171" s="12"/>
      <c r="D171" s="34"/>
      <c r="E171" s="10" t="s">
        <v>2600</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1" customFormat="1" ht="48" customHeight="1" x14ac:dyDescent="0.2">
      <c r="A172" s="15" t="s">
        <v>304</v>
      </c>
      <c r="B172" s="31" t="s">
        <v>476</v>
      </c>
      <c r="C172" s="12"/>
      <c r="D172" s="13"/>
      <c r="E172" s="10" t="str">
        <f>IF(C172="","",IF(C172="Yes","Provide a summary to support your response selection.","Describe any plans to implement a high availability environment for your systems."))</f>
        <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x14ac:dyDescent="0.2">
      <c r="A173" s="15" t="s">
        <v>305</v>
      </c>
      <c r="B173" s="31" t="s">
        <v>537</v>
      </c>
      <c r="C173" s="12"/>
      <c r="D173" s="13"/>
      <c r="E173" s="10" t="str">
        <f>IF(C173="","",IF(C173="Yes","Provide a detailed description of the implemented strategy. (i.e. batteries, generator)","Provide a brief description."))</f>
        <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5" t="s">
        <v>306</v>
      </c>
      <c r="B174" s="31" t="s">
        <v>2602</v>
      </c>
      <c r="C174" s="12"/>
      <c r="D174" s="13"/>
      <c r="E174" s="10" t="str">
        <f>IF(C174="","",IF(C174="Yes","State how often redundant power strategies are tested and the date of the last successful test.","State plans to implement redundant power testing for your systems."))</f>
        <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48" customHeight="1" x14ac:dyDescent="0.2">
      <c r="A175" s="15" t="s">
        <v>307</v>
      </c>
      <c r="B175" s="31" t="s">
        <v>538</v>
      </c>
      <c r="C175" s="262"/>
      <c r="D175" s="261"/>
      <c r="E175" s="10" t="s">
        <v>2601</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
      <c r="A176" s="15" t="s">
        <v>308</v>
      </c>
      <c r="B176" s="31" t="s">
        <v>564</v>
      </c>
      <c r="C176" s="262"/>
      <c r="D176" s="261"/>
      <c r="E176" s="10" t="s">
        <v>2649</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5" t="s">
        <v>309</v>
      </c>
      <c r="B177" s="31" t="s">
        <v>565</v>
      </c>
      <c r="C177" s="12"/>
      <c r="D177" s="13"/>
      <c r="E177" s="10" t="str">
        <f>IF(C177="","",IF(C177="Yes","Provide a brief description for each datacenter.","State plans to implement diversity of path in your network provider connections."))</f>
        <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36" customHeight="1" x14ac:dyDescent="0.2">
      <c r="A178" s="263" t="str">
        <f>IF(OR($C$28="No",$C$30="Yes"),"DRP - Respond to as many questions below as possible.","Disaster Recovery Plan")</f>
        <v>Disaster Recovery Plan</v>
      </c>
      <c r="B178" s="263"/>
      <c r="C178" s="26" t="s">
        <v>13</v>
      </c>
      <c r="D178" s="26" t="s">
        <v>14</v>
      </c>
      <c r="E178" s="7" t="s">
        <v>15</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48" customHeight="1" x14ac:dyDescent="0.2">
      <c r="A179" s="15" t="s">
        <v>310</v>
      </c>
      <c r="B179" s="31" t="s">
        <v>566</v>
      </c>
      <c r="C179" s="261"/>
      <c r="D179" s="261"/>
      <c r="E179" s="10" t="s">
        <v>2604</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47.1" customHeight="1" x14ac:dyDescent="0.2">
      <c r="A180" s="15" t="s">
        <v>311</v>
      </c>
      <c r="B180" s="31" t="s">
        <v>567</v>
      </c>
      <c r="C180" s="12"/>
      <c r="D180" s="13"/>
      <c r="E180" s="10" t="str">
        <f>IF(C180="","",IF(C180="Yes","State the responsible owner, or position title.","State plans to assign an owner responsible of the maintenance and review of the DRP."))</f>
        <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47.1" customHeight="1" x14ac:dyDescent="0.2">
      <c r="A181" s="15" t="s">
        <v>312</v>
      </c>
      <c r="B181" s="31" t="s">
        <v>2603</v>
      </c>
      <c r="C181" s="12"/>
      <c r="D181" s="105"/>
      <c r="E181" s="10" t="str">
        <f>IF(C181="","",IF(C181="Yes","Provide DRP with your submission of this fully-populated HECVAT.",""))</f>
        <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47.1" customHeight="1" x14ac:dyDescent="0.2">
      <c r="A182" s="15" t="s">
        <v>313</v>
      </c>
      <c r="B182" s="31" t="s">
        <v>2632</v>
      </c>
      <c r="C182" s="12"/>
      <c r="D182" s="13"/>
      <c r="E182" s="10" t="str">
        <f>IF(C182="","",IF(C182="Yes","List all locations outside of the U.S. and provide a brief summary of each.",""))</f>
        <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7.1" customHeight="1" x14ac:dyDescent="0.2">
      <c r="A183" s="15" t="s">
        <v>314</v>
      </c>
      <c r="B183" s="31" t="s">
        <v>2606</v>
      </c>
      <c r="C183" s="12"/>
      <c r="D183" s="13"/>
      <c r="E183" s="10" t="str">
        <f>IF(C183="","",IF(C183="Yes","Summarize your disaster recovery strategy including the type of availability your disaster recovery site provides.","Describe your recovery plans if your primary location is unavailable."))</f>
        <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1" customHeight="1" x14ac:dyDescent="0.2">
      <c r="A184" s="15" t="s">
        <v>315</v>
      </c>
      <c r="B184" s="31" t="s">
        <v>119</v>
      </c>
      <c r="C184" s="12"/>
      <c r="D184" s="13"/>
      <c r="E184" s="10" t="str">
        <f>IF(C184="","",IF(C184="Yes","Summarize your disaster recovery relocation testing strategy.","State plans to implement disaster recovery relocation testing."))</f>
        <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5" t="s">
        <v>316</v>
      </c>
      <c r="B185" s="31" t="s">
        <v>122</v>
      </c>
      <c r="C185" s="12"/>
      <c r="D185" s="13"/>
      <c r="E185" s="10" t="str">
        <f>IF(C185="","",IF(C185="Yes","Summarize your problem/issue escalation plan.","Describe your plans to implement a problem/issue escalation plan in your DRP."))</f>
        <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5" t="s">
        <v>317</v>
      </c>
      <c r="B186" s="31" t="s">
        <v>121</v>
      </c>
      <c r="C186" s="12"/>
      <c r="D186" s="13"/>
      <c r="E186" s="10" t="str">
        <f>IF(C186="","",IF(C186="Yes","Summarize your documented communication plan in your DRP.","Describe your plans to implement a documented communication plan in your DRP."))</f>
        <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5" t="s">
        <v>318</v>
      </c>
      <c r="B187" s="31" t="s">
        <v>517</v>
      </c>
      <c r="C187" s="261"/>
      <c r="D187" s="261"/>
      <c r="E187" s="10" t="s">
        <v>2605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64.349999999999994" customHeight="1" x14ac:dyDescent="0.2">
      <c r="A188" s="15" t="s">
        <v>319</v>
      </c>
      <c r="B188" s="31" t="s">
        <v>921</v>
      </c>
      <c r="C188" s="12"/>
      <c r="D188" s="13"/>
      <c r="E188" s="10" t="str">
        <f>IF(C188="","",IF(C188="Yes","Provide a summary of the results, including actual recovery time.","State the date of your next planned DRP test."))</f>
        <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64.349999999999994" customHeight="1" x14ac:dyDescent="0.2">
      <c r="A189" s="15" t="s">
        <v>320</v>
      </c>
      <c r="B189" s="31" t="s">
        <v>115</v>
      </c>
      <c r="C189" s="12"/>
      <c r="D189" s="13"/>
      <c r="E189" s="10" t="str">
        <f>IF(C189="","",IF(C189="Yes","Summarize your recovery time capabilities observations.","Describe plans to implement appropriate tests to identify actual recovery time capabilities."))</f>
        <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8" customHeight="1" x14ac:dyDescent="0.2">
      <c r="A190" s="15" t="s">
        <v>321</v>
      </c>
      <c r="B190" s="31" t="s">
        <v>568</v>
      </c>
      <c r="C190" s="12"/>
      <c r="D190" s="13"/>
      <c r="E190" s="10" t="str">
        <f>IF(C190="","",IF(C190="Yes","Summarize your DRP review and update processes and/or procedures.","State plans to implement annual (at a minimum) testing of your DRP."))</f>
        <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8" customHeight="1" x14ac:dyDescent="0.2">
      <c r="A191" s="15" t="s">
        <v>322</v>
      </c>
      <c r="B191" s="31" t="s">
        <v>484</v>
      </c>
      <c r="C191" s="12"/>
      <c r="D191" s="13"/>
      <c r="E191" s="10" t="str">
        <f>IF(C191="","",IF(C191="Yes","Summarize your cyber insurance strategy.","Descibe any plans to carry cyber-risk insurance in the future."))</f>
        <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36" customHeight="1" x14ac:dyDescent="0.2">
      <c r="A192" s="263" t="str">
        <f>IF($C$30="","Firewalls, IDS, IPS, and Networking",IF($C$30="Yes","FW/IDPS/Networks - Optional based on QUALIFIER response.","Firewalls, IDS, IPS, and Networking"))</f>
        <v>Firewalls, IDS, IPS, and Networking</v>
      </c>
      <c r="B192" s="263"/>
      <c r="C192" s="26" t="s">
        <v>13</v>
      </c>
      <c r="D192" s="26" t="s">
        <v>14</v>
      </c>
      <c r="E192" s="7" t="s">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48" customHeight="1" x14ac:dyDescent="0.2">
      <c r="A193" s="15" t="s">
        <v>323</v>
      </c>
      <c r="B193" s="31" t="s">
        <v>33</v>
      </c>
      <c r="C193" s="12"/>
      <c r="D193" s="13"/>
      <c r="E193" s="10" t="str">
        <f>IF(C193="","",IF(C193="Yes","Describe the currently implemented WAF.","Describe compensating controls that protect your web application, if applicable."))</f>
        <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48" customHeight="1" x14ac:dyDescent="0.2">
      <c r="A194" s="15" t="s">
        <v>324</v>
      </c>
      <c r="B194" s="31" t="s">
        <v>34</v>
      </c>
      <c r="C194" s="12"/>
      <c r="D194" s="13"/>
      <c r="E194" s="10" t="str">
        <f>IF(C194="","",IF(C194="Yes","Describe the currently implemented SPI firewall.","Describe any plans to implement a SPI firewall."))</f>
        <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2">
      <c r="A195" s="15" t="s">
        <v>325</v>
      </c>
      <c r="B195" s="31" t="s">
        <v>518</v>
      </c>
      <c r="C195" s="261"/>
      <c r="D195" s="261"/>
      <c r="E195" s="10" t="s">
        <v>2609</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
      <c r="A196" s="15" t="s">
        <v>326</v>
      </c>
      <c r="B196" s="31" t="s">
        <v>519</v>
      </c>
      <c r="C196" s="12"/>
      <c r="D196" s="13"/>
      <c r="E196" s="10" t="str">
        <f>IF(C196="","",IF(C196="Yes","Describe your documented firewall change request policy.","Describe your plans to implement a documented policy for firewall change requests."))</f>
        <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5" t="s">
        <v>327</v>
      </c>
      <c r="B197" s="31" t="s">
        <v>109</v>
      </c>
      <c r="C197" s="12"/>
      <c r="D197" s="13"/>
      <c r="E197" s="10" t="str">
        <f>IF(C197="","",IF(C197="Yes","Describe the currently implemented IDS.","Describe your plan to implement a Intrusion Detection System in your environment."))</f>
        <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5" t="s">
        <v>328</v>
      </c>
      <c r="B198" s="31" t="s">
        <v>110</v>
      </c>
      <c r="C198" s="12"/>
      <c r="D198" s="13"/>
      <c r="E198" s="10" t="str">
        <f>IF(C198="","",IF(C198="Yes","Describe the currently implemented IPS.","Describe your plan to implement a Intrusion Prevention System in your environment."))</f>
        <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5" t="s">
        <v>329</v>
      </c>
      <c r="B199" s="31" t="s">
        <v>130</v>
      </c>
      <c r="C199" s="12"/>
      <c r="D199" s="13"/>
      <c r="E199" s="10" t="str">
        <f>IF(C199="","",IF(C199="Yes","Describe the currently implemented host-based IDS solution(s).","Describe your plan to implement host-based Intrusion Detection System capabilities in your environment."))</f>
        <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5" t="s">
        <v>330</v>
      </c>
      <c r="B200" s="31" t="s">
        <v>131</v>
      </c>
      <c r="C200" s="12"/>
      <c r="D200" s="13"/>
      <c r="E200" s="10" t="str">
        <f>IF(C200="","",IF(C200="Yes","Describe the currently implemented host-based IPS solution(s).","Describe your plan to implement host-based Intrusion Prevention System capabilities in your environment."))</f>
        <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5" t="s">
        <v>331</v>
      </c>
      <c r="B201" s="31" t="s">
        <v>2678</v>
      </c>
      <c r="C201" s="12"/>
      <c r="D201" s="34"/>
      <c r="E201" s="210" t="str">
        <f>IF(C201="","",IF(C201="Yes","Describe your NGPT monitoring strategy.","Describe your intent to implement NGPT monitoring."))</f>
        <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5" t="s">
        <v>332</v>
      </c>
      <c r="B202" s="31" t="s">
        <v>111</v>
      </c>
      <c r="C202" s="12"/>
      <c r="D202" s="13"/>
      <c r="E202" s="10" t="str">
        <f>IF(C202="","",IF(C202="Yes","Provide a brief summary of this activity.","State plans to implement 24x7x365 intrusion monitoring in your environment(s)."))</f>
        <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5" t="s">
        <v>333</v>
      </c>
      <c r="B203" s="31" t="s">
        <v>112</v>
      </c>
      <c r="C203" s="261"/>
      <c r="D203" s="261"/>
      <c r="E203" s="10" t="s">
        <v>2610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5" t="s">
        <v>334</v>
      </c>
      <c r="B204" s="31" t="s">
        <v>2608</v>
      </c>
      <c r="C204" s="12"/>
      <c r="D204" s="13"/>
      <c r="E204" s="10" t="str">
        <f>IF(C204="","",IF(C204="Yes","Describe your current network systems logging strategy.","State plans to implement auditing capabilities for your network, firewall, IDS and/or IPS"))</f>
        <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36" customHeight="1" x14ac:dyDescent="0.2">
      <c r="A205" s="263" t="str">
        <f>IF(OR($C$25="No",$C$30="Yes"),"Mobile Applications - Optional based on QUALIFIER response.","Mobile Applications")</f>
        <v>Mobile Applications</v>
      </c>
      <c r="B205" s="263"/>
      <c r="C205" s="26" t="s">
        <v>13</v>
      </c>
      <c r="D205" s="26" t="s">
        <v>14</v>
      </c>
      <c r="E205" s="7" t="s">
        <v>15</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5" t="s">
        <v>335</v>
      </c>
      <c r="B206" s="31" t="s">
        <v>52</v>
      </c>
      <c r="C206" s="262"/>
      <c r="D206" s="261"/>
      <c r="E206" s="10" t="s">
        <v>2611</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47.1" customHeight="1" x14ac:dyDescent="0.2">
      <c r="A207" s="15" t="s">
        <v>336</v>
      </c>
      <c r="B207" s="31" t="s">
        <v>520</v>
      </c>
      <c r="C207" s="262"/>
      <c r="D207" s="261"/>
      <c r="E207" s="10" t="s">
        <v>2612</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2">
      <c r="A208" s="15" t="s">
        <v>337</v>
      </c>
      <c r="B208" s="31" t="s">
        <v>53</v>
      </c>
      <c r="C208" s="12"/>
      <c r="D208" s="13"/>
      <c r="E208" s="10" t="str">
        <f>IF(C208="","",IF(C208="Yes","State the application title as listed within the trusted source.","Decribe how the application is distributed. Also, state any plans to publish the app to a trusted source."))</f>
        <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5" t="s">
        <v>338</v>
      </c>
      <c r="B209" s="31" t="s">
        <v>54</v>
      </c>
      <c r="C209" s="12"/>
      <c r="D209" s="13"/>
      <c r="E209" s="10" t="str">
        <f>IF(C209="","",IF(C209="Yes","Provide a detailed summary for your response.",""))</f>
        <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5" t="s">
        <v>339</v>
      </c>
      <c r="B210" s="31" t="s">
        <v>2613</v>
      </c>
      <c r="C210" s="12"/>
      <c r="D210" s="13"/>
      <c r="E210" s="10" t="str">
        <f>IF(C210="","",IF(C210="Yes","Describe how data is encrypted in transport. (i.e. from system to app)","Summarize why data is not encrypted in transport. (i.e. from system to app)"))</f>
        <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5" t="s">
        <v>340</v>
      </c>
      <c r="B211" s="31" t="s">
        <v>2614</v>
      </c>
      <c r="C211" s="12"/>
      <c r="D211" s="13"/>
      <c r="E211" s="10" t="str">
        <f>IF(C211="","",IF(C211="Yes","Describe how data is encrypted in storage. (i.e. at-rest within the app)","Summarize why data is not encrypted in storage. (i.e. at-rest within the app)"))</f>
        <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5" t="s">
        <v>341</v>
      </c>
      <c r="B212" s="31" t="s">
        <v>55</v>
      </c>
      <c r="C212" s="12"/>
      <c r="D212" s="13"/>
      <c r="E212" s="10" t="str">
        <f>IF(C212="","",IF(C212="Yes","Summarize your system authentication capabilities.","State any plans to support these authentication systems."))</f>
        <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5" t="s">
        <v>342</v>
      </c>
      <c r="B213" s="31" t="s">
        <v>569</v>
      </c>
      <c r="C213" s="12"/>
      <c r="D213" s="13"/>
      <c r="E213" s="10" t="str">
        <f>IF(C213="","",IF(C213="Yes","Summarize any requirements for the Institution to take advantage of these capabilities.",""))</f>
        <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2">
      <c r="A214" s="15" t="s">
        <v>343</v>
      </c>
      <c r="B214" s="31" t="s">
        <v>2615</v>
      </c>
      <c r="C214" s="12"/>
      <c r="D214" s="13"/>
      <c r="E214" s="10" t="str">
        <f>IF(C214="","",IF(C214="Yes","Summarize your secure coding practices.","State plans to update your application to adhere to industry secure coding practices."))</f>
        <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5" t="s">
        <v>344</v>
      </c>
      <c r="B215" s="31" t="s">
        <v>56</v>
      </c>
      <c r="C215" s="12"/>
      <c r="D215" s="13"/>
      <c r="E215" s="10" t="str">
        <f>IF(C215="","",IF(C215="Yes","State the party that performed the test and the date it was conducted. Provide test results and mitigation plans, if any.","Describe any plans to implement mobile application vulnerability testing."))</f>
        <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2">
      <c r="A216" s="31" t="s">
        <v>570</v>
      </c>
      <c r="B216" s="31" t="s">
        <v>2650</v>
      </c>
      <c r="C216" s="261"/>
      <c r="D216" s="261"/>
      <c r="E216" s="10" t="s">
        <v>2644</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36" customHeight="1" x14ac:dyDescent="0.2">
      <c r="A217" s="263" t="str">
        <f>IF($C$30="","Physical Security",IF($C$30="Yes","Physical Security - Optional based on QUALIFIER response.","Physical Security"))</f>
        <v>Physical Security</v>
      </c>
      <c r="B217" s="263"/>
      <c r="C217" s="26" t="s">
        <v>13</v>
      </c>
      <c r="D217" s="26" t="s">
        <v>14</v>
      </c>
      <c r="E217" s="7" t="s">
        <v>15</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7.1" customHeight="1" x14ac:dyDescent="0.2">
      <c r="A218" s="15" t="s">
        <v>345</v>
      </c>
      <c r="B218" s="31" t="s">
        <v>2679</v>
      </c>
      <c r="C218" s="12"/>
      <c r="D218" s="34"/>
      <c r="E218" s="210" t="str">
        <f>IF(C218="","",IF(C218="Yes","Provide a copy of your physical security controls and policies along with this document (link or attached).","Describe your intent to implement physical security controls and policies."))</f>
        <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
      <c r="A219" s="15" t="s">
        <v>346</v>
      </c>
      <c r="B219" s="31" t="s">
        <v>571</v>
      </c>
      <c r="C219" s="12"/>
      <c r="D219" s="13"/>
      <c r="E219" s="10" t="str">
        <f>IF(C219="","",IF(C219="Yes","Provide a detailed summary outlining the security controls implemented to protect the Institution's data.",""))</f>
        <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5" t="s">
        <v>347</v>
      </c>
      <c r="B220" s="31" t="s">
        <v>162</v>
      </c>
      <c r="C220" s="12"/>
      <c r="D220" s="13"/>
      <c r="E220" s="10" t="str">
        <f>IF(C220="","",IF(C220="Yes","State the retention period for security video.","State your plans to retain video monitoring feeds."))</f>
        <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5" t="s">
        <v>348</v>
      </c>
      <c r="B221" s="31" t="s">
        <v>2616</v>
      </c>
      <c r="C221" s="12"/>
      <c r="D221" s="13"/>
      <c r="E221" s="10" t="str">
        <f>IF(C221="","",IF(C221="Yes","Summarize your video monitoring strategy for datacenter staff.","Describe plans to have video feed(s) monitored."))</f>
        <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2">
      <c r="A222" s="15" t="s">
        <v>349</v>
      </c>
      <c r="B222" s="31" t="s">
        <v>38</v>
      </c>
      <c r="C222" s="12"/>
      <c r="D222" s="13"/>
      <c r="E222" s="10" t="str">
        <f>IF(C222="","",IF(C222="Yes","Summarize your process and procedure for the installation and removal of equipment to/from your environment.","Provide a brief summary for your response."))</f>
        <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263" t="str">
        <f>IF($C$30="","Policies, Procedures, and Processes",IF($C$30="Yes","Pol/Pro/Proc - Optional based on QUALIFIER response.","Policies, Procedures, and Processes"))</f>
        <v>Policies, Procedures, and Processes</v>
      </c>
      <c r="B223" s="263"/>
      <c r="C223" s="26" t="s">
        <v>13</v>
      </c>
      <c r="D223" s="26" t="s">
        <v>14</v>
      </c>
      <c r="E223" s="7" t="s">
        <v>15</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83.1" customHeight="1" x14ac:dyDescent="0.2">
      <c r="A224" s="70" t="s">
        <v>350</v>
      </c>
      <c r="B224" s="31" t="s">
        <v>2680</v>
      </c>
      <c r="C224" s="12"/>
      <c r="D224" s="200"/>
      <c r="E224" s="210" t="str">
        <f>IF(C224="","",IF(C224="Yes","Provide a links to these documents in Additional Information or attach them with your submission. Include the responsible party for your information security program and the size of your security staff.","Provide a brief summary for this response."))</f>
        <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
      <c r="A225" s="15" t="s">
        <v>351</v>
      </c>
      <c r="B225" s="31" t="s">
        <v>39</v>
      </c>
      <c r="C225" s="12"/>
      <c r="D225" s="13"/>
      <c r="E225" s="10" t="str">
        <f>IF(C225="","",IF(C225="Yes","Summarize your documented patch management process.","State plans to document your patch management process."))</f>
        <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5" t="s">
        <v>352</v>
      </c>
      <c r="B226" s="31" t="s">
        <v>40</v>
      </c>
      <c r="C226" s="12"/>
      <c r="D226" s="13"/>
      <c r="E226" s="10" t="str">
        <f>IF(C226="","",IF(C226="Yes","Summarize any limitations to your accomodation capabilities.","State why you are unable to accommodate encryption requirements using open standards."))</f>
        <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5" t="s">
        <v>353</v>
      </c>
      <c r="B227" s="31" t="s">
        <v>41</v>
      </c>
      <c r="C227" s="12"/>
      <c r="D227" s="13"/>
      <c r="E227" s="10" t="str">
        <f>IF(C227="","",IF(C227="Yes","Provide a brief description of the training provided.","State any scheduled training sessions focused on secure coding techniques."))</f>
        <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5" t="s">
        <v>354</v>
      </c>
      <c r="B228" s="31" t="s">
        <v>42</v>
      </c>
      <c r="C228" s="12"/>
      <c r="D228" s="13"/>
      <c r="E228" s="10" t="str">
        <f>IF(C228="","",IF(C228="Yes","Describe the secure coding techniques used to develop your application.","State plans to update your application code using secure coding techniques."))</f>
        <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2">
      <c r="A229" s="15" t="s">
        <v>355</v>
      </c>
      <c r="B229" s="31" t="s">
        <v>2623</v>
      </c>
      <c r="C229" s="12"/>
      <c r="D229" s="13"/>
      <c r="E229" s="10" t="str">
        <f>IF(C229="","",IF(C229="Yes","Provide a list of all tools utilized during static code analysis or static application security testing.","State your plans to implement static code testing practices into your environment."))</f>
        <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84" customHeight="1" x14ac:dyDescent="0.2">
      <c r="A230" s="15" t="s">
        <v>356</v>
      </c>
      <c r="B230" s="31" t="s">
        <v>2624</v>
      </c>
      <c r="C230" s="12"/>
      <c r="D230" s="13"/>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5" t="s">
        <v>357</v>
      </c>
      <c r="B231" s="31" t="s">
        <v>43</v>
      </c>
      <c r="C231" s="12"/>
      <c r="D231" s="13"/>
      <c r="E231" s="10" t="str">
        <f>IF(C231="","",IF(C231="Yes","Summarize the information security principles designed into the product lifecycle.","Describe why security principles are not designed into the product lifecycle."))</f>
        <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96" customHeight="1" x14ac:dyDescent="0.2">
      <c r="A232" s="15" t="s">
        <v>358</v>
      </c>
      <c r="B232" s="31" t="s">
        <v>44</v>
      </c>
      <c r="C232" s="12"/>
      <c r="D232" s="13"/>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2">
      <c r="A233" s="15" t="s">
        <v>359</v>
      </c>
      <c r="B233" s="31" t="s">
        <v>45</v>
      </c>
      <c r="C233" s="12"/>
      <c r="D233" s="13"/>
      <c r="E233" s="10" t="str">
        <f>IF(C233="","",IF(C233="Yes","Summarize your formal incident response plan.","State plans to formalize an incident response plan."))</f>
        <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5" t="s">
        <v>360</v>
      </c>
      <c r="B234" s="31" t="s">
        <v>2625</v>
      </c>
      <c r="C234" s="12"/>
      <c r="D234" s="13"/>
      <c r="E234" s="10" t="str">
        <f>IF(C234="","",IF(C234="Yes","State how quickly the Institution will be notified of a data breach or security incident.","Summarize why you will not comple with applicable breach notification laws."))</f>
        <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2">
      <c r="A235" s="15" t="s">
        <v>361</v>
      </c>
      <c r="B235" s="31" t="s">
        <v>572</v>
      </c>
      <c r="C235" s="12"/>
      <c r="D235" s="13"/>
      <c r="E235" s="10" t="str">
        <f>IF(C235="","",IF(C235="Yes","State that you have reviewed the Institution's IT policies with regards to user privacy and data protection.","Summarize why you will not comply with the Institution's IT policy with regards to user privacy and data protection."))</f>
        <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5" t="s">
        <v>362</v>
      </c>
      <c r="B236" s="31" t="s">
        <v>2659</v>
      </c>
      <c r="C236" s="12"/>
      <c r="D236" s="13"/>
      <c r="E236" s="10" t="str">
        <f>IF(C236="","",IF(C236="Yes","","State the country that governs and regulates your company."))</f>
        <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5" t="s">
        <v>363</v>
      </c>
      <c r="B237" s="31" t="s">
        <v>485</v>
      </c>
      <c r="C237" s="12"/>
      <c r="D237" s="13"/>
      <c r="E237" s="10" t="str">
        <f>IF(C237="","",IF(C237="Yes","Summarize your background check practices.","State plans to implement background check elements into your hiring process."))</f>
        <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5" t="s">
        <v>364</v>
      </c>
      <c r="B238" s="31" t="s">
        <v>46</v>
      </c>
      <c r="C238" s="12"/>
      <c r="D238" s="13"/>
      <c r="E238" s="10" t="str">
        <f>IF(C238="","",IF(C238="Yes","Summarize the required agreements and reviewed policies.","Summarize why new employees are not required to accept agreements or review policy."))</f>
        <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2">
      <c r="A239" s="15" t="s">
        <v>365</v>
      </c>
      <c r="B239" s="31" t="s">
        <v>2626</v>
      </c>
      <c r="C239" s="12"/>
      <c r="D239" s="13"/>
      <c r="E239" s="10" t="str">
        <f>IF(C239="","",IF(C239="Yes","Provide a reference to your information security policy or submit documentation with this fully-populated HECVAT.","State plans to implement information security policy at your company."))</f>
        <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5" t="s">
        <v>366</v>
      </c>
      <c r="B240" s="31" t="s">
        <v>47</v>
      </c>
      <c r="C240" s="12"/>
      <c r="D240" s="13"/>
      <c r="E240" s="10" t="str">
        <f>IF(C240="","",IF(C240="Yes","Summarize your information security awareness program.","State plans to implement an information security awareness program."))</f>
        <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4.349999999999994" customHeight="1" x14ac:dyDescent="0.2">
      <c r="A241" s="15" t="s">
        <v>367</v>
      </c>
      <c r="B241" s="31" t="s">
        <v>2627</v>
      </c>
      <c r="C241" s="12"/>
      <c r="D241" s="13"/>
      <c r="E241" s="10" t="str">
        <f>IF(C241="","",IF(C241="Yes","Summarize your security awareness training content and state how frequently employees are required to undergo security awareness training.","State plans to make security awareness training mandatory for all employees."))</f>
        <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48" customHeight="1" x14ac:dyDescent="0.2">
      <c r="A242" s="15" t="s">
        <v>368</v>
      </c>
      <c r="B242" s="31" t="s">
        <v>2628</v>
      </c>
      <c r="C242" s="12"/>
      <c r="D242" s="13"/>
      <c r="E242" s="10" t="str">
        <f>IF(C242="","",IF(C242="Yes","Provide a brief summary and the implement review interval.","Describe plans to implement privileged account access-list reviews to your environment."))</f>
        <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4.349999999999994" customHeight="1" x14ac:dyDescent="0.2">
      <c r="A243" s="15" t="s">
        <v>369</v>
      </c>
      <c r="B243" s="31" t="s">
        <v>2629</v>
      </c>
      <c r="C243" s="12"/>
      <c r="D243" s="13"/>
      <c r="E243" s="10" t="str">
        <f>IF(C243="","",IF(C243="Yes","Summarize your internal audit processes and procedures.","State plans to document and implement internal audit process and procedure in your environment."))</f>
        <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36" customHeight="1" x14ac:dyDescent="0.2">
      <c r="A244" s="263" t="str">
        <f>IF($C$30="","Product Evaluation",IF($C$30="Yes","Product Evaluation - Optional based on QUALIFIER response.","Product Evaluation"))</f>
        <v>Product Evaluation</v>
      </c>
      <c r="B244" s="263"/>
      <c r="C244" s="26" t="s">
        <v>13</v>
      </c>
      <c r="D244" s="26" t="s">
        <v>14</v>
      </c>
      <c r="E244" s="7" t="s">
        <v>15</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5" t="s">
        <v>370</v>
      </c>
      <c r="B245" s="31" t="s">
        <v>48</v>
      </c>
      <c r="C245" s="12"/>
      <c r="D245" s="13"/>
      <c r="E245" s="10" t="str">
        <f>IF(C245="","",IF(C245="Yes","Provide a reference to your customer feedback procedures.","State any plans to incorporate customer feedback into security feature requests."))</f>
        <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5" t="s">
        <v>371</v>
      </c>
      <c r="B246" s="31" t="s">
        <v>540</v>
      </c>
      <c r="C246" s="12"/>
      <c r="D246" s="13"/>
      <c r="E246" s="10" t="str">
        <f>IF(C246="","",IF(C246="Yes","Summarize the scope of your evaluation site(s) and request procedures. Provide references, as needed.","State why an evaluation site cannot be provided to the Institution."))</f>
        <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36" customHeight="1" x14ac:dyDescent="0.2">
      <c r="A247" s="263" t="str">
        <f>IF($C$30="","Quality Assurance",IF($C$30="Yes","Quality Assurance - Optional based on QUALIFIER response.","Quality Assurance"))</f>
        <v>Quality Assurance</v>
      </c>
      <c r="B247" s="263"/>
      <c r="C247" s="26" t="s">
        <v>13</v>
      </c>
      <c r="D247" s="26" t="s">
        <v>14</v>
      </c>
      <c r="E247" s="7" t="s">
        <v>15</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5" t="s">
        <v>372</v>
      </c>
      <c r="B248" s="31" t="s">
        <v>161</v>
      </c>
      <c r="C248" s="261"/>
      <c r="D248" s="261"/>
      <c r="E248" s="10" t="s">
        <v>2617</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5" t="s">
        <v>373</v>
      </c>
      <c r="B249" s="31" t="s">
        <v>152</v>
      </c>
      <c r="C249" s="12"/>
      <c r="D249" s="13"/>
      <c r="E249" s="10" t="str">
        <f>IF(C249="","",IF(C249="Yes","If certified, provide supporting documentation.","Describe plans and/or efforts towards certification."))</f>
        <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53.1" customHeight="1" x14ac:dyDescent="0.2">
      <c r="A250" s="15" t="s">
        <v>374</v>
      </c>
      <c r="B250" s="31" t="s">
        <v>153</v>
      </c>
      <c r="C250" s="12"/>
      <c r="D250" s="13"/>
      <c r="E250" s="10" t="str">
        <f>IF(C250="","",IF(C250="Yes","Provide references to quality and performance metrics documentation.","State plans to provide quality and performance metrics for this service."))</f>
        <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53.1" customHeight="1" x14ac:dyDescent="0.2">
      <c r="A251" s="15" t="s">
        <v>375</v>
      </c>
      <c r="B251" s="31" t="s">
        <v>541</v>
      </c>
      <c r="C251" s="12"/>
      <c r="D251" s="13"/>
      <c r="E251" s="10" t="str">
        <f>IF(C251="","",IF(C251="Yes","Provide the Institution's contact, describe the products and/or services offered, and the total value of the services provided.",""))</f>
        <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5" t="s">
        <v>376</v>
      </c>
      <c r="B252" s="31" t="s">
        <v>154</v>
      </c>
      <c r="C252" s="12"/>
      <c r="D252" s="13"/>
      <c r="E252" s="10" t="str">
        <f>IF(C252="","",IF(C252="Yes","Summarize your informational program.","Describe plans to implement this informational program."))</f>
        <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36" customHeight="1" x14ac:dyDescent="0.2">
      <c r="A253" s="263" t="str">
        <f>IF($C$30="","Systems Management &amp; Configuration",IF($C$30="Yes","System Mgmt/Config - Optional based on QUALIFIER response.","Systems Management &amp; Configuration"))</f>
        <v>Systems Management &amp; Configuration</v>
      </c>
      <c r="B253" s="263"/>
      <c r="C253" s="26" t="s">
        <v>13</v>
      </c>
      <c r="D253" s="26" t="s">
        <v>14</v>
      </c>
      <c r="E253" s="7" t="s">
        <v>15</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9.35" customHeight="1" x14ac:dyDescent="0.2">
      <c r="A254" s="15" t="s">
        <v>377</v>
      </c>
      <c r="B254" s="31" t="s">
        <v>166</v>
      </c>
      <c r="C254" s="12"/>
      <c r="D254" s="13"/>
      <c r="E254" s="10" t="str">
        <f>IF(C254="","",IF(C254="Yes","Summarize how this is implemented in your environment.","Describe any implemented compensating controls."))</f>
        <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5" t="s">
        <v>378</v>
      </c>
      <c r="B255" s="31" t="s">
        <v>573</v>
      </c>
      <c r="C255" s="12"/>
      <c r="D255" s="13"/>
      <c r="E255" s="10" t="str">
        <f>IF(C255="","",IF(C255="Yes","Summarize your implemented system configuration management precess.","Describe how system configuration management is currently handled in your environment."))</f>
        <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5" t="s">
        <v>379</v>
      </c>
      <c r="B256" s="31" t="s">
        <v>167</v>
      </c>
      <c r="C256" s="12"/>
      <c r="D256" s="13"/>
      <c r="E256" s="10" t="str">
        <f>IF(C256="","",IF(C256="Yes","Summarize your on-site MDM capabilities.","State any plans to implement a MDM platform in your environment."))</f>
        <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64.349999999999994" customHeight="1" x14ac:dyDescent="0.2">
      <c r="A257" s="15" t="s">
        <v>380</v>
      </c>
      <c r="B257" s="31" t="s">
        <v>2681</v>
      </c>
      <c r="C257" s="12"/>
      <c r="D257" s="34"/>
      <c r="E257" s="210" t="str">
        <f>IF(C257="","",IF(C257="Yes","Summarize your systems management and configuration strategy.","Describe your intent to implement a systems management and configuration strategy."))</f>
        <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36" customHeight="1" x14ac:dyDescent="0.2">
      <c r="A258" s="263" t="str">
        <f>IF($C$30="","Vulnerability Scanning",IF($C$30="Yes","Vulnerability Scanning - Optional based on QUALIFIER response.","Vulnerability Scanning"))</f>
        <v>Vulnerability Scanning</v>
      </c>
      <c r="B258" s="263"/>
      <c r="C258" s="26" t="s">
        <v>13</v>
      </c>
      <c r="D258" s="26" t="s">
        <v>14</v>
      </c>
      <c r="E258" s="7" t="s">
        <v>15</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5" t="s">
        <v>381</v>
      </c>
      <c r="B259" s="31" t="s">
        <v>49</v>
      </c>
      <c r="C259" s="12"/>
      <c r="D259" s="13"/>
      <c r="E259" s="10" t="str">
        <f>IF(C259="","",IF(C259="Yes","Decribe your external application vulnerability scanning strategy.","Describe any plans to implement external vulnerability scanning for your applications."))</f>
        <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5" t="s">
        <v>382</v>
      </c>
      <c r="B260" s="31" t="s">
        <v>2651</v>
      </c>
      <c r="C260" s="12"/>
      <c r="D260" s="13"/>
      <c r="E260" s="10" t="str">
        <f>IF(C260="","",IF(C260="Yes","State the date of your most recent application external assessment.","Describe any plans to have application external assessment(s) performed on your systems."))</f>
        <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65.099999999999994" customHeight="1" x14ac:dyDescent="0.2">
      <c r="A261" s="15" t="s">
        <v>383</v>
      </c>
      <c r="B261" s="31" t="s">
        <v>50</v>
      </c>
      <c r="C261" s="12"/>
      <c r="D261" s="13"/>
      <c r="E261" s="10" t="str">
        <f>IF(C261="","",IF(C261="Yes","Summarize your vulnerability scanning strategy.","Describe plans to implement application vulnerability scanning prior to release."))</f>
        <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9.35" customHeight="1" x14ac:dyDescent="0.2">
      <c r="A262" s="15" t="s">
        <v>384</v>
      </c>
      <c r="B262" s="31" t="s">
        <v>51</v>
      </c>
      <c r="C262" s="12"/>
      <c r="D262" s="13"/>
      <c r="E262" s="10" t="str">
        <f>IF(C262="","",IF(C262="Yes","Decribe your external system vulnerability scanning strategy.","Describe any plans to implement external vulnerability scanning for your systems."))</f>
        <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5" t="s">
        <v>385</v>
      </c>
      <c r="B263" s="31" t="s">
        <v>2652</v>
      </c>
      <c r="C263" s="12"/>
      <c r="D263" s="13"/>
      <c r="E263" s="10" t="str">
        <f>IF(C263="","",IF(C263="Yes","State the date of your most recent system external assessment.","Describe any plans to have system external assessment(s) performed on your systems."))</f>
        <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5" t="s">
        <v>386</v>
      </c>
      <c r="B264" s="31" t="s">
        <v>456</v>
      </c>
      <c r="C264" s="261"/>
      <c r="D264" s="261"/>
      <c r="E264" s="10" t="s">
        <v>2618</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5" t="s">
        <v>387</v>
      </c>
      <c r="B265" s="31" t="s">
        <v>2620</v>
      </c>
      <c r="C265" s="12"/>
      <c r="D265" s="13"/>
      <c r="E265" s="10" t="str">
        <f>IF(C265="","",IF(C265="Yes","Provide a reference to security scan documentation.","Describe why security scan results will not be provided to the Institution."))</f>
        <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65.099999999999994" customHeight="1" x14ac:dyDescent="0.2">
      <c r="A266" s="15" t="s">
        <v>388</v>
      </c>
      <c r="B266" s="31" t="s">
        <v>457</v>
      </c>
      <c r="C266" s="261"/>
      <c r="D266" s="261"/>
      <c r="E266" s="10" t="s">
        <v>2619</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54" customHeight="1" x14ac:dyDescent="0.2">
      <c r="A267" s="15" t="s">
        <v>389</v>
      </c>
      <c r="B267" s="31" t="s">
        <v>542</v>
      </c>
      <c r="C267" s="12"/>
      <c r="D267" s="13"/>
      <c r="E267" s="10" t="str">
        <f>IF(C267="","",IF(C267="Yes","Provide reference to the process or procedure to setup security testing times and scopes.","Provide a brief summary for your response."))</f>
        <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36" customHeight="1" x14ac:dyDescent="0.2">
      <c r="A268" s="263" t="str">
        <f>IF(OR($C$24="No",$C$30="Yes"),"HIPAA - Optional based on QUALIFIER response.","HIPAA")</f>
        <v>HIPAA</v>
      </c>
      <c r="B268" s="263"/>
      <c r="C268" s="26" t="s">
        <v>13</v>
      </c>
      <c r="D268" s="26" t="s">
        <v>14</v>
      </c>
      <c r="E268" s="7" t="s">
        <v>15</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65.099999999999994" customHeight="1" x14ac:dyDescent="0.2">
      <c r="A269" s="15" t="s">
        <v>390</v>
      </c>
      <c r="B269" s="31" t="s">
        <v>136</v>
      </c>
      <c r="C269" s="12"/>
      <c r="D269" s="13"/>
      <c r="E269" s="10" t="s">
        <v>2621</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5" t="s">
        <v>391</v>
      </c>
      <c r="B270" s="31" t="s">
        <v>137</v>
      </c>
      <c r="C270" s="12"/>
      <c r="D270" s="13"/>
      <c r="E270" s="10" t="s">
        <v>2621</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5" t="s">
        <v>392</v>
      </c>
      <c r="B271" s="31" t="s">
        <v>138</v>
      </c>
      <c r="C271" s="12"/>
      <c r="D271" s="13"/>
      <c r="E271" s="10" t="s">
        <v>2621</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
      <c r="A272" s="15" t="s">
        <v>393</v>
      </c>
      <c r="B272" s="31" t="s">
        <v>139</v>
      </c>
      <c r="C272" s="12"/>
      <c r="D272" s="13"/>
      <c r="E272" s="10" t="s">
        <v>2621</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5" t="s">
        <v>394</v>
      </c>
      <c r="B273" s="31" t="s">
        <v>140</v>
      </c>
      <c r="C273" s="12"/>
      <c r="D273" s="13"/>
      <c r="E273" s="10" t="s">
        <v>2621</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5" t="s">
        <v>395</v>
      </c>
      <c r="B274" s="31" t="s">
        <v>141</v>
      </c>
      <c r="C274" s="12"/>
      <c r="D274" s="13"/>
      <c r="E274" s="10" t="s">
        <v>2621</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5" t="s">
        <v>396</v>
      </c>
      <c r="B275" s="31" t="s">
        <v>142</v>
      </c>
      <c r="C275" s="12"/>
      <c r="D275" s="13"/>
      <c r="E275" s="10" t="s">
        <v>2621</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5" t="s">
        <v>397</v>
      </c>
      <c r="B276" s="31" t="s">
        <v>143</v>
      </c>
      <c r="C276" s="12"/>
      <c r="D276" s="13"/>
      <c r="E276" s="10" t="s">
        <v>2621</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5" t="s">
        <v>398</v>
      </c>
      <c r="B277" s="31" t="s">
        <v>144</v>
      </c>
      <c r="C277" s="12"/>
      <c r="D277" s="13"/>
      <c r="E277" s="10" t="s">
        <v>2621</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5" t="s">
        <v>399</v>
      </c>
      <c r="B278" s="31" t="s">
        <v>57</v>
      </c>
      <c r="C278" s="12"/>
      <c r="D278" s="13"/>
      <c r="E278" s="10" t="s">
        <v>2621</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2">
      <c r="A279" s="15" t="s">
        <v>400</v>
      </c>
      <c r="B279" s="31" t="s">
        <v>58</v>
      </c>
      <c r="C279" s="12"/>
      <c r="D279" s="13"/>
      <c r="E279" s="10" t="s">
        <v>2621</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
      <c r="A280" s="15" t="s">
        <v>401</v>
      </c>
      <c r="B280" s="31" t="s">
        <v>59</v>
      </c>
      <c r="C280" s="12"/>
      <c r="D280" s="13"/>
      <c r="E280" s="10" t="s">
        <v>2621</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5" t="s">
        <v>402</v>
      </c>
      <c r="B281" s="31" t="s">
        <v>60</v>
      </c>
      <c r="C281" s="12"/>
      <c r="D281" s="13"/>
      <c r="E281" s="10" t="s">
        <v>2621</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5" t="s">
        <v>403</v>
      </c>
      <c r="B282" s="31" t="s">
        <v>61</v>
      </c>
      <c r="C282" s="12"/>
      <c r="D282" s="13"/>
      <c r="E282" s="10" t="s">
        <v>2621</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2">
      <c r="A283" s="15" t="s">
        <v>404</v>
      </c>
      <c r="B283" s="31" t="s">
        <v>543</v>
      </c>
      <c r="C283" s="12"/>
      <c r="D283" s="13"/>
      <c r="E283" s="10" t="s">
        <v>2621</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48" customHeight="1" x14ac:dyDescent="0.2">
      <c r="A284" s="15" t="s">
        <v>405</v>
      </c>
      <c r="B284" s="31" t="s">
        <v>62</v>
      </c>
      <c r="C284" s="12"/>
      <c r="D284" s="13"/>
      <c r="E284" s="10" t="s">
        <v>2621</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48" customHeight="1" x14ac:dyDescent="0.2">
      <c r="A285" s="15" t="s">
        <v>406</v>
      </c>
      <c r="B285" s="31" t="s">
        <v>521</v>
      </c>
      <c r="C285" s="12"/>
      <c r="D285" s="13"/>
      <c r="E285" s="10" t="s">
        <v>2621</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48" customHeight="1" x14ac:dyDescent="0.2">
      <c r="A286" s="15" t="s">
        <v>407</v>
      </c>
      <c r="B286" s="31" t="s">
        <v>63</v>
      </c>
      <c r="C286" s="12"/>
      <c r="D286" s="13"/>
      <c r="E286" s="10" t="s">
        <v>2621</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47.1" customHeight="1" x14ac:dyDescent="0.2">
      <c r="A287" s="15" t="s">
        <v>408</v>
      </c>
      <c r="B287" s="31" t="s">
        <v>64</v>
      </c>
      <c r="C287" s="12"/>
      <c r="D287" s="13"/>
      <c r="E287" s="10" t="s">
        <v>2621</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47.1" customHeight="1" x14ac:dyDescent="0.2">
      <c r="A288" s="15" t="s">
        <v>409</v>
      </c>
      <c r="B288" s="31" t="s">
        <v>70</v>
      </c>
      <c r="C288" s="12"/>
      <c r="D288" s="13"/>
      <c r="E288" s="10" t="s">
        <v>2621</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48" customHeight="1" x14ac:dyDescent="0.2">
      <c r="A289" s="15" t="s">
        <v>410</v>
      </c>
      <c r="B289" s="31" t="s">
        <v>65</v>
      </c>
      <c r="C289" s="12"/>
      <c r="D289" s="13"/>
      <c r="E289" s="10" t="s">
        <v>2621</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65.099999999999994" customHeight="1" x14ac:dyDescent="0.2">
      <c r="A290" s="15" t="s">
        <v>411</v>
      </c>
      <c r="B290" s="31" t="s">
        <v>66</v>
      </c>
      <c r="C290" s="12"/>
      <c r="D290" s="13"/>
      <c r="E290" s="10" t="s">
        <v>2621</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48" customHeight="1" x14ac:dyDescent="0.2">
      <c r="A291" s="15" t="s">
        <v>412</v>
      </c>
      <c r="B291" s="31" t="s">
        <v>67</v>
      </c>
      <c r="C291" s="261"/>
      <c r="D291" s="261"/>
      <c r="E291" s="10" t="s">
        <v>2621</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48" customHeight="1" x14ac:dyDescent="0.2">
      <c r="A292" s="15" t="s">
        <v>413</v>
      </c>
      <c r="B292" s="31" t="s">
        <v>68</v>
      </c>
      <c r="C292" s="12"/>
      <c r="D292" s="13"/>
      <c r="E292" s="10" t="s">
        <v>2621</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48" customHeight="1" x14ac:dyDescent="0.2">
      <c r="A293" s="15" t="s">
        <v>414</v>
      </c>
      <c r="B293" s="31" t="s">
        <v>69</v>
      </c>
      <c r="C293" s="12"/>
      <c r="D293" s="13"/>
      <c r="E293" s="10" t="s">
        <v>2621</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48" customHeight="1" x14ac:dyDescent="0.2">
      <c r="A294" s="15" t="s">
        <v>415</v>
      </c>
      <c r="B294" s="31" t="s">
        <v>145</v>
      </c>
      <c r="C294" s="12"/>
      <c r="D294" s="13"/>
      <c r="E294" s="10" t="s">
        <v>2621</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48" customHeight="1" x14ac:dyDescent="0.2">
      <c r="A295" s="15" t="s">
        <v>416</v>
      </c>
      <c r="B295" s="31" t="s">
        <v>146</v>
      </c>
      <c r="C295" s="12"/>
      <c r="D295" s="13"/>
      <c r="E295" s="10" t="s">
        <v>2621</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48" customHeight="1" x14ac:dyDescent="0.2">
      <c r="A296" s="15" t="s">
        <v>417</v>
      </c>
      <c r="B296" s="31" t="s">
        <v>147</v>
      </c>
      <c r="C296" s="12"/>
      <c r="D296" s="13"/>
      <c r="E296" s="10" t="s">
        <v>2621</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48" customHeight="1" x14ac:dyDescent="0.2">
      <c r="A297" s="15" t="s">
        <v>418</v>
      </c>
      <c r="B297" s="31" t="s">
        <v>71</v>
      </c>
      <c r="C297" s="12"/>
      <c r="D297" s="13"/>
      <c r="E297" s="10" t="s">
        <v>2621</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48" customHeight="1" x14ac:dyDescent="0.2">
      <c r="A298" s="15" t="s">
        <v>419</v>
      </c>
      <c r="B298" s="31" t="s">
        <v>148</v>
      </c>
      <c r="C298" s="12"/>
      <c r="D298" s="13"/>
      <c r="E298" s="10" t="s">
        <v>2621</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47.1" customHeight="1" x14ac:dyDescent="0.2">
      <c r="A299" s="15" t="s">
        <v>420</v>
      </c>
      <c r="B299" s="31" t="s">
        <v>486</v>
      </c>
      <c r="C299" s="12"/>
      <c r="D299" s="13"/>
      <c r="E299" s="10" t="s">
        <v>2621</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36" customHeight="1" x14ac:dyDescent="0.2">
      <c r="A300" s="263" t="str">
        <f>IF(OR($C$29="No",$C$30="Yes"),"PCI DSS - Optional based on QUALIFIER response.","PCI DSS")</f>
        <v>PCI DSS</v>
      </c>
      <c r="B300" s="263"/>
      <c r="C300" s="26" t="s">
        <v>13</v>
      </c>
      <c r="D300" s="26" t="s">
        <v>14</v>
      </c>
      <c r="E300" s="7" t="s">
        <v>15</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48" customHeight="1" x14ac:dyDescent="0.2">
      <c r="A301" s="15" t="s">
        <v>421</v>
      </c>
      <c r="B301" s="31" t="s">
        <v>2633</v>
      </c>
      <c r="C301" s="12"/>
      <c r="D301" s="13"/>
      <c r="E301" s="10" t="s">
        <v>2622</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48" customHeight="1" x14ac:dyDescent="0.2">
      <c r="A302" s="15" t="s">
        <v>422</v>
      </c>
      <c r="B302" s="31" t="s">
        <v>72</v>
      </c>
      <c r="C302" s="12"/>
      <c r="D302" s="13"/>
      <c r="E302" s="10" t="s">
        <v>2622</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48" customHeight="1" x14ac:dyDescent="0.2">
      <c r="A303" s="15" t="s">
        <v>423</v>
      </c>
      <c r="B303" s="31" t="s">
        <v>73</v>
      </c>
      <c r="C303" s="12"/>
      <c r="D303" s="13"/>
      <c r="E303" s="10" t="s">
        <v>2622</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48" customHeight="1" x14ac:dyDescent="0.2">
      <c r="A304" s="15" t="s">
        <v>424</v>
      </c>
      <c r="B304" s="31" t="s">
        <v>74</v>
      </c>
      <c r="C304" s="12"/>
      <c r="D304" s="13"/>
      <c r="E304" s="10" t="s">
        <v>2622</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48" customHeight="1" x14ac:dyDescent="0.2">
      <c r="A305" s="15" t="s">
        <v>425</v>
      </c>
      <c r="B305" s="31" t="s">
        <v>75</v>
      </c>
      <c r="C305" s="12"/>
      <c r="D305" s="13"/>
      <c r="E305" s="10" t="s">
        <v>2622</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48" customHeight="1" x14ac:dyDescent="0.2">
      <c r="A306" s="15" t="s">
        <v>426</v>
      </c>
      <c r="B306" s="31" t="s">
        <v>76</v>
      </c>
      <c r="C306" s="12"/>
      <c r="D306" s="13"/>
      <c r="E306" s="10" t="s">
        <v>2622</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64.349999999999994" customHeight="1" x14ac:dyDescent="0.2">
      <c r="A307" s="15" t="s">
        <v>427</v>
      </c>
      <c r="B307" s="31" t="s">
        <v>77</v>
      </c>
      <c r="C307" s="261"/>
      <c r="D307" s="261"/>
      <c r="E307" s="10" t="s">
        <v>2622</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64.349999999999994" customHeight="1" x14ac:dyDescent="0.2">
      <c r="A308" s="15" t="s">
        <v>428</v>
      </c>
      <c r="B308" s="31" t="s">
        <v>78</v>
      </c>
      <c r="C308" s="261"/>
      <c r="D308" s="261"/>
      <c r="E308" s="10" t="s">
        <v>2622</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48" customHeight="1" x14ac:dyDescent="0.2">
      <c r="A309" s="15" t="s">
        <v>429</v>
      </c>
      <c r="B309" s="31" t="s">
        <v>79</v>
      </c>
      <c r="C309" s="12"/>
      <c r="D309" s="13"/>
      <c r="E309" s="10" t="s">
        <v>2622</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48" customHeight="1" x14ac:dyDescent="0.2">
      <c r="A310" s="15" t="s">
        <v>430</v>
      </c>
      <c r="B310" s="31" t="s">
        <v>80</v>
      </c>
      <c r="C310" s="12"/>
      <c r="D310" s="13"/>
      <c r="E310" s="10" t="s">
        <v>2622</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54" customHeight="1" x14ac:dyDescent="0.2">
      <c r="A311" s="15" t="s">
        <v>431</v>
      </c>
      <c r="B311" s="31" t="s">
        <v>2634</v>
      </c>
      <c r="C311" s="12"/>
      <c r="D311" s="13"/>
      <c r="E311" s="10" t="str">
        <f>IF(C311="","",IF(C311="Yes","State the providors name and provide a current copy of their AoC or RoC.","Refer to PCI DSS Security Standards for supplemental guidance in this section"))</f>
        <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64.349999999999994" customHeight="1" x14ac:dyDescent="0.2">
      <c r="A312" s="15" t="s">
        <v>432</v>
      </c>
      <c r="B312" s="31" t="s">
        <v>81</v>
      </c>
      <c r="C312" s="261"/>
      <c r="D312" s="261"/>
      <c r="E312" s="10" t="s">
        <v>2622</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sheetData>
  <mergeCells count="85">
    <mergeCell ref="C203:D203"/>
    <mergeCell ref="C248:D248"/>
    <mergeCell ref="C206:D206"/>
    <mergeCell ref="C207:D207"/>
    <mergeCell ref="C216:D216"/>
    <mergeCell ref="C307:D307"/>
    <mergeCell ref="C312:D312"/>
    <mergeCell ref="C291:D291"/>
    <mergeCell ref="C264:D264"/>
    <mergeCell ref="C266:D266"/>
    <mergeCell ref="C308:D308"/>
    <mergeCell ref="C116:D116"/>
    <mergeCell ref="C142:D142"/>
    <mergeCell ref="C140:D140"/>
    <mergeCell ref="C179:D179"/>
    <mergeCell ref="C176:D176"/>
    <mergeCell ref="C168:D168"/>
    <mergeCell ref="C195:D195"/>
    <mergeCell ref="C133:D133"/>
    <mergeCell ref="C175:D175"/>
    <mergeCell ref="C187:D187"/>
    <mergeCell ref="A38:B38"/>
    <mergeCell ref="A46:B46"/>
    <mergeCell ref="A51:B51"/>
    <mergeCell ref="A61:B61"/>
    <mergeCell ref="C50:D50"/>
    <mergeCell ref="C48:D48"/>
    <mergeCell ref="C49:D49"/>
    <mergeCell ref="C70:D70"/>
    <mergeCell ref="C68:D68"/>
    <mergeCell ref="C47:D47"/>
    <mergeCell ref="C71:D71"/>
    <mergeCell ref="C73:D73"/>
    <mergeCell ref="C78:D78"/>
    <mergeCell ref="A21:E21"/>
    <mergeCell ref="A22:B22"/>
    <mergeCell ref="A23:E23"/>
    <mergeCell ref="A31:B31"/>
    <mergeCell ref="C18:E18"/>
    <mergeCell ref="C12:E12"/>
    <mergeCell ref="C14:E14"/>
    <mergeCell ref="C13:E13"/>
    <mergeCell ref="C76:D76"/>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A253:B253"/>
    <mergeCell ref="A258:B258"/>
    <mergeCell ref="A268:B268"/>
    <mergeCell ref="A300:B300"/>
    <mergeCell ref="C39:D39"/>
    <mergeCell ref="C40:D40"/>
    <mergeCell ref="A217:B217"/>
    <mergeCell ref="A223:B223"/>
    <mergeCell ref="A244:B244"/>
    <mergeCell ref="C45:D45"/>
    <mergeCell ref="C77:D77"/>
    <mergeCell ref="A79:B79"/>
    <mergeCell ref="A97:B97"/>
    <mergeCell ref="A110:B110"/>
    <mergeCell ref="A126:B126"/>
    <mergeCell ref="A155:B155"/>
    <mergeCell ref="A247:B247"/>
    <mergeCell ref="A158:B158"/>
    <mergeCell ref="A178:B178"/>
    <mergeCell ref="A192:B192"/>
    <mergeCell ref="A205:B205"/>
    <mergeCell ref="C95:D95"/>
    <mergeCell ref="C96:D96"/>
    <mergeCell ref="C98:D98"/>
    <mergeCell ref="C115:D115"/>
    <mergeCell ref="C112:D112"/>
  </mergeCells>
  <conditionalFormatting sqref="C205:E205 A205">
    <cfRule type="expression" dxfId="2737" priority="191">
      <formula>$C$25="No"</formula>
    </cfRule>
  </conditionalFormatting>
  <conditionalFormatting sqref="C268:E268 A268">
    <cfRule type="expression" dxfId="2736" priority="190">
      <formula>$C$24="No"</formula>
    </cfRule>
  </conditionalFormatting>
  <conditionalFormatting sqref="C46:E46 A46">
    <cfRule type="expression" dxfId="2735" priority="189">
      <formula>$C$26="No"</formula>
    </cfRule>
  </conditionalFormatting>
  <conditionalFormatting sqref="C178:E178 A178">
    <cfRule type="expression" dxfId="2734" priority="188">
      <formula>$C$28="No"</formula>
    </cfRule>
  </conditionalFormatting>
  <conditionalFormatting sqref="A163:E164">
    <cfRule type="expression" dxfId="2733" priority="142">
      <formula>$C$162="No"</formula>
    </cfRule>
  </conditionalFormatting>
  <conditionalFormatting sqref="A168:E168">
    <cfRule type="expression" dxfId="2732" priority="185">
      <formula>$C$167="No"</formula>
    </cfRule>
  </conditionalFormatting>
  <conditionalFormatting sqref="A164:E164">
    <cfRule type="expression" dxfId="2731" priority="141">
      <formula>$C$163="No"</formula>
    </cfRule>
  </conditionalFormatting>
  <conditionalFormatting sqref="A90:B90 D90:E90">
    <cfRule type="expression" dxfId="2730" priority="150">
      <formula>$C$89="No"</formula>
    </cfRule>
  </conditionalFormatting>
  <conditionalFormatting sqref="A92:B93 D92:E93">
    <cfRule type="expression" dxfId="2729" priority="180">
      <formula>$C$91="No"</formula>
    </cfRule>
  </conditionalFormatting>
  <conditionalFormatting sqref="A260:E260">
    <cfRule type="expression" dxfId="2728" priority="123">
      <formula>$C$259="No"</formula>
    </cfRule>
  </conditionalFormatting>
  <conditionalFormatting sqref="A263:E263">
    <cfRule type="expression" dxfId="2727" priority="124">
      <formula>$C$262="No"</formula>
    </cfRule>
  </conditionalFormatting>
  <conditionalFormatting sqref="A213:E213">
    <cfRule type="expression" dxfId="2726" priority="135">
      <formula>$C$212="No"</formula>
    </cfRule>
  </conditionalFormatting>
  <conditionalFormatting sqref="A216:E216">
    <cfRule type="expression" dxfId="2725" priority="136">
      <formula>$C$215="No"</formula>
    </cfRule>
  </conditionalFormatting>
  <conditionalFormatting sqref="C300:E300 A300">
    <cfRule type="expression" dxfId="2724" priority="175">
      <formula>$C$29="No"</formula>
    </cfRule>
  </conditionalFormatting>
  <conditionalFormatting sqref="A293:E293">
    <cfRule type="expression" dxfId="2723" priority="160">
      <formula>$C$292="No"</formula>
    </cfRule>
  </conditionalFormatting>
  <conditionalFormatting sqref="A241:E241">
    <cfRule type="expression" dxfId="2722" priority="132">
      <formula>$C$240="No"</formula>
    </cfRule>
  </conditionalFormatting>
  <conditionalFormatting sqref="A238">
    <cfRule type="expression" dxfId="2721" priority="131">
      <formula>#REF!="No"</formula>
    </cfRule>
  </conditionalFormatting>
  <conditionalFormatting sqref="D58">
    <cfRule type="expression" dxfId="2720" priority="171">
      <formula>$C$57="No"</formula>
    </cfRule>
  </conditionalFormatting>
  <conditionalFormatting sqref="A60:E60">
    <cfRule type="expression" dxfId="2719" priority="170">
      <formula>$C$59="No"</formula>
    </cfRule>
  </conditionalFormatting>
  <conditionalFormatting sqref="C51:E51 A51">
    <cfRule type="expression" dxfId="2718" priority="169">
      <formula>$C$30="No"</formula>
    </cfRule>
  </conditionalFormatting>
  <conditionalFormatting sqref="A138:E138">
    <cfRule type="expression" dxfId="2717" priority="145">
      <formula>$C$137="No"</formula>
    </cfRule>
  </conditionalFormatting>
  <conditionalFormatting sqref="A112:E112">
    <cfRule type="expression" dxfId="2716" priority="146">
      <formula>$C$111="No"</formula>
    </cfRule>
  </conditionalFormatting>
  <conditionalFormatting sqref="A203:E203">
    <cfRule type="expression" dxfId="2715" priority="137">
      <formula>$C$202="No"</formula>
    </cfRule>
  </conditionalFormatting>
  <conditionalFormatting sqref="A184:E184">
    <cfRule type="expression" dxfId="2714" priority="139">
      <formula>$C$183="No"</formula>
    </cfRule>
  </conditionalFormatting>
  <conditionalFormatting sqref="C97:E97 A97">
    <cfRule type="expression" dxfId="2713" priority="162">
      <formula>$C$27="No"</formula>
    </cfRule>
  </conditionalFormatting>
  <conditionalFormatting sqref="A276:B277 D276:D277">
    <cfRule type="expression" dxfId="2712" priority="121">
      <formula>$C$275="No"</formula>
    </cfRule>
  </conditionalFormatting>
  <conditionalFormatting sqref="A277:B277 D277">
    <cfRule type="expression" dxfId="2711" priority="122">
      <formula>$C$276="No"</formula>
    </cfRule>
  </conditionalFormatting>
  <conditionalFormatting sqref="B52:B57 B59:B60">
    <cfRule type="expression" dxfId="2710" priority="159">
      <formula>$C$30="No"</formula>
    </cfRule>
  </conditionalFormatting>
  <conditionalFormatting sqref="B47:B49">
    <cfRule type="expression" dxfId="2709" priority="158">
      <formula>$C$26="No"</formula>
    </cfRule>
  </conditionalFormatting>
  <conditionalFormatting sqref="B50">
    <cfRule type="expression" dxfId="2708" priority="155">
      <formula>$C$26="No"</formula>
    </cfRule>
  </conditionalFormatting>
  <conditionalFormatting sqref="A61:E61 A79:E79 A97:E97 A110:E110 A126:E126 A158:E158 A178:E178 A192:E192 A205:E205 A223:E223 A244:E244 A247:E247 A253:E253 A268:E268 A300:E300">
    <cfRule type="expression" dxfId="2707" priority="154">
      <formula>$C$30="Yes"</formula>
    </cfRule>
  </conditionalFormatting>
  <conditionalFormatting sqref="A155:E155">
    <cfRule type="expression" dxfId="2706" priority="153">
      <formula>$C$30="Yes"</formula>
    </cfRule>
  </conditionalFormatting>
  <conditionalFormatting sqref="A217:E217">
    <cfRule type="expression" dxfId="2705" priority="152">
      <formula>$C$30="Yes"</formula>
    </cfRule>
  </conditionalFormatting>
  <conditionalFormatting sqref="A258:E258">
    <cfRule type="expression" dxfId="2704" priority="151">
      <formula>$C$30="Yes"</formula>
    </cfRule>
  </conditionalFormatting>
  <conditionalFormatting sqref="B85:B94 B68:B71 B111:B112 B124:B125 B237:B243 B136:B154 B76:B78">
    <cfRule type="expression" dxfId="2703" priority="181">
      <formula>$C$30="Yes"</formula>
    </cfRule>
  </conditionalFormatting>
  <conditionalFormatting sqref="B80">
    <cfRule type="expression" dxfId="2702" priority="183">
      <formula>$C$30="Yes"</formula>
    </cfRule>
  </conditionalFormatting>
  <conditionalFormatting sqref="B84">
    <cfRule type="expression" dxfId="2701" priority="113">
      <formula>$C$30="Yes"</formula>
    </cfRule>
  </conditionalFormatting>
  <conditionalFormatting sqref="B114">
    <cfRule type="expression" dxfId="2700" priority="166">
      <formula>$C$30="Yes"</formula>
    </cfRule>
  </conditionalFormatting>
  <conditionalFormatting sqref="B254:B257">
    <cfRule type="expression" dxfId="2699" priority="126">
      <formula>$C$30="Yes"</formula>
    </cfRule>
  </conditionalFormatting>
  <conditionalFormatting sqref="B156:B157">
    <cfRule type="expression" dxfId="2698" priority="144">
      <formula>$C$30="Yes"</formula>
    </cfRule>
  </conditionalFormatting>
  <conditionalFormatting sqref="B245:B246">
    <cfRule type="expression" dxfId="2697" priority="130">
      <formula>$C$30="Yes"</formula>
    </cfRule>
  </conditionalFormatting>
  <conditionalFormatting sqref="B216">
    <cfRule type="expression" dxfId="2696" priority="177">
      <formula>$C$30="Yes"</formula>
    </cfRule>
  </conditionalFormatting>
  <conditionalFormatting sqref="B248:B252">
    <cfRule type="expression" dxfId="2695" priority="128">
      <formula>$C$30="Yes"</formula>
    </cfRule>
  </conditionalFormatting>
  <conditionalFormatting sqref="B81:B83">
    <cfRule type="expression" dxfId="2694" priority="117">
      <formula>$C$30="Yes"</formula>
    </cfRule>
  </conditionalFormatting>
  <conditionalFormatting sqref="B269:B299">
    <cfRule type="expression" dxfId="2693" priority="25">
      <formula>$C$24="No"</formula>
    </cfRule>
    <cfRule type="expression" dxfId="2692" priority="174">
      <formula>$C$30="Yes"</formula>
    </cfRule>
  </conditionalFormatting>
  <conditionalFormatting sqref="B301:B312">
    <cfRule type="expression" dxfId="2691" priority="24">
      <formula>$C$29="No"</formula>
    </cfRule>
    <cfRule type="expression" dxfId="2690" priority="120">
      <formula>$C$30="Yes"</formula>
    </cfRule>
  </conditionalFormatting>
  <conditionalFormatting sqref="A296:E296 A297:A299">
    <cfRule type="expression" dxfId="2689" priority="118">
      <formula>$C$295="No"</formula>
    </cfRule>
  </conditionalFormatting>
  <conditionalFormatting sqref="B127">
    <cfRule type="expression" dxfId="2688" priority="69">
      <formula>$C$30="Yes"</formula>
    </cfRule>
  </conditionalFormatting>
  <conditionalFormatting sqref="B95:B96">
    <cfRule type="expression" dxfId="2687" priority="112">
      <formula>$C$30="Yes"</formula>
    </cfRule>
  </conditionalFormatting>
  <conditionalFormatting sqref="B113">
    <cfRule type="expression" dxfId="2686" priority="110">
      <formula>$C$30="Yes"</formula>
    </cfRule>
  </conditionalFormatting>
  <conditionalFormatting sqref="B72:B75">
    <cfRule type="expression" dxfId="2685" priority="107">
      <formula>$C$30="Yes"</formula>
    </cfRule>
  </conditionalFormatting>
  <conditionalFormatting sqref="B115:B117">
    <cfRule type="expression" dxfId="2684" priority="105">
      <formula>$C$30="Yes"</formula>
    </cfRule>
  </conditionalFormatting>
  <conditionalFormatting sqref="B118:B123">
    <cfRule type="expression" dxfId="2683" priority="104">
      <formula>$C$30="Yes"</formula>
    </cfRule>
  </conditionalFormatting>
  <conditionalFormatting sqref="B128:B131">
    <cfRule type="expression" dxfId="2682" priority="72">
      <formula>$C$30="Yes"</formula>
    </cfRule>
  </conditionalFormatting>
  <conditionalFormatting sqref="B206:B215">
    <cfRule type="expression" dxfId="2681" priority="46">
      <formula>$C$30="Yes"</formula>
    </cfRule>
  </conditionalFormatting>
  <conditionalFormatting sqref="E90">
    <cfRule type="expression" dxfId="2680" priority="79">
      <formula>$C$89="No"</formula>
    </cfRule>
  </conditionalFormatting>
  <conditionalFormatting sqref="E92:E93">
    <cfRule type="expression" dxfId="2679" priority="80">
      <formula>$C$91="No"</formula>
    </cfRule>
  </conditionalFormatting>
  <conditionalFormatting sqref="B132">
    <cfRule type="expression" dxfId="2678" priority="68">
      <formula>$C$30="Yes"</formula>
    </cfRule>
  </conditionalFormatting>
  <conditionalFormatting sqref="B133">
    <cfRule type="expression" dxfId="2677" priority="67">
      <formula>$C$30="Yes"</formula>
    </cfRule>
  </conditionalFormatting>
  <conditionalFormatting sqref="B135">
    <cfRule type="expression" dxfId="2676" priority="66">
      <formula>$C$30="Yes"</formula>
    </cfRule>
  </conditionalFormatting>
  <conditionalFormatting sqref="B134">
    <cfRule type="expression" dxfId="2675" priority="65">
      <formula>$C$30="Yes"</formula>
    </cfRule>
  </conditionalFormatting>
  <conditionalFormatting sqref="E184">
    <cfRule type="expression" dxfId="2674" priority="56">
      <formula>$C$183="No"</formula>
    </cfRule>
  </conditionalFormatting>
  <conditionalFormatting sqref="E189">
    <cfRule type="expression" dxfId="2673" priority="55">
      <formula>$C$188="No"</formula>
    </cfRule>
  </conditionalFormatting>
  <conditionalFormatting sqref="B193:B204">
    <cfRule type="expression" dxfId="2672" priority="52">
      <formula>$C$30="Yes"</formula>
    </cfRule>
  </conditionalFormatting>
  <conditionalFormatting sqref="B218:B222">
    <cfRule type="expression" dxfId="2671" priority="44">
      <formula>$C$30="Yes"</formula>
    </cfRule>
  </conditionalFormatting>
  <conditionalFormatting sqref="B259:B267">
    <cfRule type="expression" dxfId="2670" priority="36">
      <formula>$C$30="Yes"</formula>
    </cfRule>
  </conditionalFormatting>
  <conditionalFormatting sqref="B224:B234">
    <cfRule type="expression" dxfId="2669" priority="26">
      <formula>$C$30="Yes"</formula>
    </cfRule>
  </conditionalFormatting>
  <conditionalFormatting sqref="B206:B216">
    <cfRule type="expression" dxfId="2668" priority="21">
      <formula>$C$25="No"</formula>
    </cfRule>
  </conditionalFormatting>
  <conditionalFormatting sqref="B62:B67">
    <cfRule type="expression" dxfId="2667" priority="18">
      <formula>$C$30="Yes"</formula>
    </cfRule>
  </conditionalFormatting>
  <conditionalFormatting sqref="B98:B109">
    <cfRule type="expression" dxfId="2666" priority="11">
      <formula>$C$27="No"</formula>
    </cfRule>
    <cfRule type="expression" dxfId="2665" priority="17">
      <formula>$C$30="Yes"</formula>
    </cfRule>
  </conditionalFormatting>
  <conditionalFormatting sqref="B159:B177">
    <cfRule type="expression" dxfId="2664" priority="15">
      <formula>$C$30="Yes"</formula>
    </cfRule>
  </conditionalFormatting>
  <conditionalFormatting sqref="B179:B191">
    <cfRule type="expression" dxfId="2663" priority="9">
      <formula>$C$28="No"</formula>
    </cfRule>
    <cfRule type="expression" dxfId="2662" priority="14">
      <formula>$C$30="Yes"</formula>
    </cfRule>
  </conditionalFormatting>
  <conditionalFormatting sqref="C58">
    <cfRule type="expression" dxfId="2661" priority="13">
      <formula>$C$57="No"</formula>
    </cfRule>
  </conditionalFormatting>
  <conditionalFormatting sqref="B58">
    <cfRule type="expression" dxfId="2660" priority="8">
      <formula>$C$30="No"</formula>
    </cfRule>
  </conditionalFormatting>
  <conditionalFormatting sqref="B235:B236">
    <cfRule type="expression" dxfId="2659" priority="7">
      <formula>$C$48="Yes"</formula>
    </cfRule>
  </conditionalFormatting>
  <conditionalFormatting sqref="E201">
    <cfRule type="expression" dxfId="2658" priority="6">
      <formula>#REF!="Yes"</formula>
    </cfRule>
  </conditionalFormatting>
  <conditionalFormatting sqref="E218">
    <cfRule type="expression" dxfId="2657" priority="5">
      <formula>#REF!="Yes"</formula>
    </cfRule>
  </conditionalFormatting>
  <conditionalFormatting sqref="E224">
    <cfRule type="expression" dxfId="2656" priority="4">
      <formula>#REF!="Yes"</formula>
    </cfRule>
  </conditionalFormatting>
  <conditionalFormatting sqref="E257">
    <cfRule type="expression" dxfId="2655" priority="3">
      <formula>#REF!="Yes"</formula>
    </cfRule>
  </conditionalFormatting>
  <conditionalFormatting sqref="C90">
    <cfRule type="expression" dxfId="2654" priority="2">
      <formula>$C$89="No"</formula>
    </cfRule>
  </conditionalFormatting>
  <conditionalFormatting sqref="C92:C93">
    <cfRule type="expression" dxfId="2653" priority="1">
      <formula>$C$91="No"</formula>
    </cfRule>
  </conditionalFormatting>
  <dataValidations count="2">
    <dataValidation type="list" allowBlank="1" showInputMessage="1" showErrorMessage="1" sqref="C24:C30 C32:C37 C41:C44 C249:C252 C204 C99:C109 C62:C67 C74:C75 C72 C69 C301:C306 C111 C113:C114 C117:C125 C141 C127:C132 C134:C139 C193:C194 C309:C311 C169:C170 C52:C60 C177 C188:C191 C180:C186 C292:C299 C196:C202 C208:C215 C224:C243 C218:C222 C245:C246 C265 C267 C259:C263 C254:C257 C269:C290 C143:C154 C80:C94 C166:C167 C156:C157 C159:C164 C172:C174" xr:uid="{00000000-0002-0000-0200-000000000000}">
      <formula1>yes</formula1>
    </dataValidation>
    <dataValidation type="list" allowBlank="1" showInputMessage="1" showErrorMessage="1" sqref="C171" xr:uid="{00000000-0002-0000-0200-000001000000}">
      <formula1>uptime</formula1>
    </dataValidation>
  </dataValidations>
  <hyperlinks>
    <hyperlink ref="C19" r:id="rId1" xr:uid="{E04C301C-B3E8-4DF8-854A-960C85012F07}"/>
  </hyperlinks>
  <pageMargins left="0.75" right="0.75" top="1" bottom="1" header="0.5" footer="0.5"/>
  <pageSetup orientation="landscape" r:id="rId2"/>
  <headerFooter>
    <oddFooter>&amp;L&amp;"Helvetica,Regular"&amp;12&amp;K000000	&amp;P</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0"/>
  <sheetViews>
    <sheetView showGridLines="0" topLeftCell="A28" zoomScaleNormal="100" zoomScalePageLayoutView="80" workbookViewId="0">
      <selection activeCell="C31" sqref="C31"/>
    </sheetView>
  </sheetViews>
  <sheetFormatPr defaultColWidth="6.59765625" defaultRowHeight="15" customHeight="1" x14ac:dyDescent="0.2"/>
  <cols>
    <col min="1" max="1" width="8.19921875" customWidth="1"/>
    <col min="2" max="2" width="58.5" style="45" customWidth="1"/>
    <col min="3" max="3" width="24.59765625" style="46" customWidth="1"/>
    <col min="4" max="4" width="24.59765625" style="47" customWidth="1"/>
    <col min="5" max="5" width="24.59765625" style="41" customWidth="1"/>
    <col min="6" max="6" width="24.59765625" style="46" customWidth="1"/>
    <col min="7" max="7" width="24.59765625" style="25" customWidth="1"/>
    <col min="8" max="8" width="26.59765625" style="41" customWidth="1"/>
    <col min="9" max="9" width="12" style="3" customWidth="1"/>
    <col min="10" max="259" width="6.59765625" style="3" customWidth="1"/>
  </cols>
  <sheetData>
    <row r="1" spans="1:259" ht="36" customHeight="1" x14ac:dyDescent="0.2">
      <c r="A1" s="274" t="s">
        <v>577</v>
      </c>
      <c r="B1" s="275"/>
      <c r="C1" s="275"/>
      <c r="D1" s="275"/>
      <c r="E1" s="275"/>
      <c r="F1" s="275"/>
      <c r="G1" s="275"/>
      <c r="H1" s="275"/>
      <c r="I1" s="276"/>
    </row>
    <row r="2" spans="1:259" ht="24" customHeight="1" x14ac:dyDescent="0.2">
      <c r="A2" s="260" t="s">
        <v>97</v>
      </c>
      <c r="B2" s="260"/>
      <c r="C2" s="260"/>
      <c r="D2" s="260"/>
      <c r="E2" s="260"/>
      <c r="F2" s="260"/>
      <c r="G2" s="260"/>
      <c r="H2" s="260"/>
      <c r="I2" s="174"/>
    </row>
    <row r="3" spans="1:259" s="138" customFormat="1" ht="2.1" customHeight="1" x14ac:dyDescent="0.2">
      <c r="A3" s="141"/>
      <c r="B3" s="141"/>
      <c r="C3" s="141"/>
      <c r="D3" s="141"/>
      <c r="E3" s="141"/>
      <c r="F3" s="141"/>
      <c r="G3" s="141"/>
      <c r="H3" s="141"/>
      <c r="I3" s="174"/>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138" customFormat="1" ht="2.1" customHeight="1" x14ac:dyDescent="0.2">
      <c r="A4" s="141"/>
      <c r="B4" s="141"/>
      <c r="C4" s="141"/>
      <c r="D4" s="141"/>
      <c r="E4" s="141"/>
      <c r="F4" s="141"/>
      <c r="G4" s="141"/>
      <c r="H4" s="141"/>
      <c r="I4" s="174"/>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138" customFormat="1" ht="2.1" customHeight="1" x14ac:dyDescent="0.2">
      <c r="A5" s="141"/>
      <c r="B5" s="141"/>
      <c r="C5" s="141"/>
      <c r="D5" s="141"/>
      <c r="E5" s="141"/>
      <c r="F5" s="141"/>
      <c r="G5" s="141"/>
      <c r="H5" s="141"/>
      <c r="I5" s="17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138" customFormat="1" ht="2.1" customHeight="1" x14ac:dyDescent="0.2">
      <c r="A6" s="141"/>
      <c r="B6" s="141"/>
      <c r="C6" s="141"/>
      <c r="D6" s="141"/>
      <c r="E6" s="141"/>
      <c r="F6" s="141"/>
      <c r="G6" s="141"/>
      <c r="H6" s="141"/>
      <c r="I6" s="174"/>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138" customFormat="1" ht="2.1" customHeight="1" x14ac:dyDescent="0.2">
      <c r="A7" s="141"/>
      <c r="B7" s="141"/>
      <c r="C7" s="141"/>
      <c r="D7" s="141"/>
      <c r="E7" s="141"/>
      <c r="F7" s="141"/>
      <c r="G7" s="141"/>
      <c r="H7" s="141"/>
      <c r="I7" s="174"/>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138" customFormat="1" ht="2.1" customHeight="1" x14ac:dyDescent="0.2">
      <c r="A8" s="141"/>
      <c r="B8" s="141"/>
      <c r="C8" s="141"/>
      <c r="D8" s="141"/>
      <c r="E8" s="141"/>
      <c r="F8" s="141"/>
      <c r="G8" s="141"/>
      <c r="H8" s="141"/>
      <c r="I8" s="174"/>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138" customFormat="1" ht="2.1" customHeight="1" x14ac:dyDescent="0.2">
      <c r="A9" s="141"/>
      <c r="B9" s="141"/>
      <c r="C9" s="141"/>
      <c r="D9" s="141"/>
      <c r="E9" s="141"/>
      <c r="F9" s="141"/>
      <c r="G9" s="141"/>
      <c r="H9" s="141"/>
      <c r="I9" s="174"/>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138" customFormat="1" ht="2.1" customHeight="1" x14ac:dyDescent="0.2">
      <c r="A10" s="141"/>
      <c r="B10" s="141"/>
      <c r="C10" s="141"/>
      <c r="D10" s="141"/>
      <c r="E10" s="141"/>
      <c r="F10" s="141"/>
      <c r="G10" s="141"/>
      <c r="H10" s="141"/>
      <c r="I10" s="174"/>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138" customFormat="1" ht="2.1" customHeight="1" x14ac:dyDescent="0.2">
      <c r="A11" s="141"/>
      <c r="B11" s="141"/>
      <c r="C11" s="141"/>
      <c r="D11" s="141"/>
      <c r="E11" s="141"/>
      <c r="F11" s="141"/>
      <c r="G11" s="141"/>
      <c r="H11" s="141"/>
      <c r="I11" s="174"/>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138" customFormat="1" ht="2.1" customHeight="1" x14ac:dyDescent="0.2">
      <c r="A12" s="141"/>
      <c r="B12" s="141"/>
      <c r="C12" s="141"/>
      <c r="D12" s="141"/>
      <c r="E12" s="141"/>
      <c r="F12" s="141"/>
      <c r="G12" s="141"/>
      <c r="H12" s="141"/>
      <c r="I12" s="174"/>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138" customFormat="1" ht="2.1" customHeight="1" x14ac:dyDescent="0.2">
      <c r="A13" s="141"/>
      <c r="B13" s="141"/>
      <c r="C13" s="141"/>
      <c r="D13" s="141"/>
      <c r="E13" s="141"/>
      <c r="F13" s="141"/>
      <c r="G13" s="141"/>
      <c r="H13" s="141"/>
      <c r="I13" s="174"/>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138" customFormat="1" ht="2.1" customHeight="1" x14ac:dyDescent="0.2">
      <c r="A14" s="141"/>
      <c r="B14" s="141"/>
      <c r="C14" s="141"/>
      <c r="D14" s="141"/>
      <c r="E14" s="141"/>
      <c r="F14" s="141"/>
      <c r="G14" s="141"/>
      <c r="H14" s="141"/>
      <c r="I14" s="174"/>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138" customFormat="1" ht="2.1" customHeight="1" x14ac:dyDescent="0.2">
      <c r="A15" s="141"/>
      <c r="B15" s="141"/>
      <c r="C15" s="141"/>
      <c r="D15" s="141"/>
      <c r="E15" s="141"/>
      <c r="F15" s="141"/>
      <c r="G15" s="141"/>
      <c r="H15" s="141"/>
      <c r="I15" s="174"/>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138" customFormat="1" ht="2.1" customHeight="1" x14ac:dyDescent="0.2">
      <c r="A16" s="141"/>
      <c r="B16" s="141"/>
      <c r="C16" s="141"/>
      <c r="D16" s="141"/>
      <c r="E16" s="141"/>
      <c r="F16" s="141"/>
      <c r="G16" s="141"/>
      <c r="H16" s="141"/>
      <c r="I16" s="174"/>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138" customFormat="1" ht="2.1" customHeight="1" x14ac:dyDescent="0.2">
      <c r="A17" s="141"/>
      <c r="B17" s="141"/>
      <c r="C17" s="141"/>
      <c r="D17" s="141"/>
      <c r="E17" s="141"/>
      <c r="F17" s="141"/>
      <c r="G17" s="141"/>
      <c r="H17" s="141"/>
      <c r="I17" s="174"/>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138" customFormat="1" ht="2.1" customHeight="1" x14ac:dyDescent="0.2">
      <c r="A18" s="141"/>
      <c r="B18" s="141"/>
      <c r="C18" s="141"/>
      <c r="D18" s="141"/>
      <c r="E18" s="141"/>
      <c r="F18" s="141"/>
      <c r="G18" s="141"/>
      <c r="H18" s="141"/>
      <c r="I18" s="174"/>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138" customFormat="1" ht="2.1" customHeight="1" x14ac:dyDescent="0.2">
      <c r="A19" s="141"/>
      <c r="B19" s="141"/>
      <c r="C19" s="141"/>
      <c r="D19" s="141"/>
      <c r="E19" s="141"/>
      <c r="F19" s="141"/>
      <c r="G19" s="141"/>
      <c r="H19" s="141"/>
      <c r="I19" s="174"/>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36" customFormat="1" ht="36" customHeight="1" x14ac:dyDescent="0.2">
      <c r="A20" s="263" t="s">
        <v>12</v>
      </c>
      <c r="B20" s="263"/>
      <c r="C20" s="37" t="s">
        <v>578</v>
      </c>
      <c r="D20" s="37" t="s">
        <v>579</v>
      </c>
      <c r="E20" s="37" t="s">
        <v>906</v>
      </c>
      <c r="F20" s="37" t="s">
        <v>582</v>
      </c>
      <c r="G20" s="26" t="s">
        <v>581</v>
      </c>
      <c r="H20" s="37" t="s">
        <v>580</v>
      </c>
      <c r="I20" s="175" t="s">
        <v>2063</v>
      </c>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row>
    <row r="21" spans="1:259" s="190" customFormat="1" ht="17.100000000000001" customHeight="1" x14ac:dyDescent="0.2">
      <c r="A21" s="185"/>
      <c r="B21" s="185"/>
      <c r="C21" s="186"/>
      <c r="D21" s="186"/>
      <c r="E21" s="186"/>
      <c r="F21" s="186"/>
      <c r="G21" s="187"/>
      <c r="H21" s="186"/>
      <c r="I21" s="188"/>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c r="EL21" s="189"/>
      <c r="EM21" s="189"/>
      <c r="EN21" s="189"/>
      <c r="EO21" s="189"/>
      <c r="EP21" s="189"/>
      <c r="EQ21" s="189"/>
      <c r="ER21" s="189"/>
      <c r="ES21" s="189"/>
      <c r="ET21" s="189"/>
      <c r="EU21" s="189"/>
      <c r="EV21" s="189"/>
      <c r="EW21" s="189"/>
      <c r="EX21" s="189"/>
      <c r="EY21" s="189"/>
      <c r="EZ21" s="189"/>
      <c r="FA21" s="189"/>
      <c r="FB21" s="189"/>
      <c r="FC21" s="189"/>
      <c r="FD21" s="189"/>
      <c r="FE21" s="189"/>
      <c r="FF21" s="189"/>
      <c r="FG21" s="189"/>
      <c r="FH21" s="189"/>
      <c r="FI21" s="189"/>
      <c r="FJ21" s="189"/>
      <c r="FK21" s="189"/>
      <c r="FL21" s="189"/>
      <c r="FM21" s="189"/>
      <c r="FN21" s="189"/>
      <c r="FO21" s="189"/>
      <c r="FP21" s="189"/>
      <c r="FQ21" s="189"/>
      <c r="FR21" s="189"/>
      <c r="FS21" s="189"/>
      <c r="FT21" s="189"/>
      <c r="FU21" s="189"/>
      <c r="FV21" s="189"/>
      <c r="FW21" s="189"/>
      <c r="FX21" s="189"/>
      <c r="FY21" s="189"/>
      <c r="FZ21" s="189"/>
      <c r="GA21" s="189"/>
      <c r="GB21" s="189"/>
      <c r="GC21" s="189"/>
      <c r="GD21" s="189"/>
      <c r="GE21" s="189"/>
      <c r="GF21" s="189"/>
      <c r="GG21" s="189"/>
      <c r="GH21" s="189"/>
      <c r="GI21" s="189"/>
      <c r="GJ21" s="189"/>
      <c r="GK21" s="189"/>
      <c r="GL21" s="189"/>
      <c r="GM21" s="189"/>
      <c r="GN21" s="189"/>
      <c r="GO21" s="189"/>
      <c r="GP21" s="189"/>
      <c r="GQ21" s="189"/>
      <c r="GR21" s="189"/>
      <c r="GS21" s="189"/>
      <c r="GT21" s="189"/>
      <c r="GU21" s="189"/>
      <c r="GV21" s="189"/>
      <c r="GW21" s="189"/>
      <c r="GX21" s="189"/>
      <c r="GY21" s="189"/>
      <c r="GZ21" s="189"/>
      <c r="HA21" s="189"/>
      <c r="HB21" s="189"/>
      <c r="HC21" s="189"/>
      <c r="HD21" s="189"/>
      <c r="HE21" s="189"/>
      <c r="HF21" s="189"/>
      <c r="HG21" s="189"/>
      <c r="HH21" s="189"/>
      <c r="HI21" s="189"/>
      <c r="HJ21" s="189"/>
      <c r="HK21" s="189"/>
      <c r="HL21" s="189"/>
      <c r="HM21" s="189"/>
      <c r="HN21" s="189"/>
      <c r="HO21" s="189"/>
      <c r="HP21" s="189"/>
      <c r="HQ21" s="189"/>
      <c r="HR21" s="189"/>
      <c r="HS21" s="189"/>
      <c r="HT21" s="189"/>
      <c r="HU21" s="189"/>
      <c r="HV21" s="189"/>
      <c r="HW21" s="189"/>
      <c r="HX21" s="189"/>
      <c r="HY21" s="189"/>
      <c r="HZ21" s="189"/>
      <c r="IA21" s="189"/>
      <c r="IB21" s="189"/>
      <c r="IC21" s="189"/>
      <c r="ID21" s="189"/>
      <c r="IE21" s="189"/>
      <c r="IF21" s="189"/>
      <c r="IG21" s="189"/>
      <c r="IH21" s="189"/>
      <c r="II21" s="189"/>
      <c r="IJ21" s="189"/>
      <c r="IK21" s="189"/>
      <c r="IL21" s="189"/>
      <c r="IM21" s="189"/>
      <c r="IN21" s="189"/>
      <c r="IO21" s="189"/>
      <c r="IP21" s="189"/>
      <c r="IQ21" s="189"/>
      <c r="IR21" s="189"/>
      <c r="IS21" s="189"/>
      <c r="IT21" s="189"/>
      <c r="IU21" s="189"/>
      <c r="IV21" s="189"/>
      <c r="IW21" s="189"/>
      <c r="IX21" s="189"/>
      <c r="IY21" s="189"/>
    </row>
    <row r="22" spans="1:259" ht="48" customHeight="1" x14ac:dyDescent="0.2">
      <c r="A22" s="15" t="s">
        <v>170</v>
      </c>
      <c r="B22" s="31" t="s">
        <v>96</v>
      </c>
      <c r="C22" s="38" t="s">
        <v>585</v>
      </c>
      <c r="D22" s="38" t="s">
        <v>632</v>
      </c>
      <c r="E22" s="38" t="s">
        <v>633</v>
      </c>
      <c r="F22" s="38" t="s">
        <v>714</v>
      </c>
      <c r="G22" s="48" t="s">
        <v>714</v>
      </c>
      <c r="H22" s="38" t="s">
        <v>835</v>
      </c>
      <c r="I22" s="39"/>
    </row>
    <row r="23" spans="1:259" ht="48" customHeight="1" x14ac:dyDescent="0.2">
      <c r="A23" s="15" t="s">
        <v>171</v>
      </c>
      <c r="B23" s="31" t="s">
        <v>583</v>
      </c>
      <c r="C23" s="38" t="s">
        <v>586</v>
      </c>
      <c r="D23" s="39"/>
      <c r="E23" s="39"/>
      <c r="F23" s="39"/>
      <c r="G23" s="49"/>
      <c r="H23" s="38" t="s">
        <v>836</v>
      </c>
      <c r="I23" s="39"/>
    </row>
    <row r="24" spans="1:259" ht="48" customHeight="1" x14ac:dyDescent="0.2">
      <c r="A24" s="15" t="s">
        <v>172</v>
      </c>
      <c r="B24" s="31" t="s">
        <v>584</v>
      </c>
      <c r="C24" s="38" t="s">
        <v>585</v>
      </c>
      <c r="D24" s="39"/>
      <c r="E24" s="39"/>
      <c r="F24" s="38" t="s">
        <v>715</v>
      </c>
      <c r="G24" s="48" t="s">
        <v>715</v>
      </c>
      <c r="H24" s="39"/>
      <c r="I24" s="38">
        <v>12.8</v>
      </c>
    </row>
    <row r="25" spans="1:259" ht="48" customHeight="1" x14ac:dyDescent="0.2">
      <c r="A25" s="15" t="s">
        <v>173</v>
      </c>
      <c r="B25" s="31" t="s">
        <v>159</v>
      </c>
      <c r="C25" s="38" t="s">
        <v>587</v>
      </c>
      <c r="D25" s="39"/>
      <c r="E25" s="38" t="s">
        <v>634</v>
      </c>
      <c r="F25" s="38" t="s">
        <v>716</v>
      </c>
      <c r="G25" s="48" t="s">
        <v>716</v>
      </c>
      <c r="H25" s="38" t="s">
        <v>837</v>
      </c>
      <c r="I25" s="38">
        <v>12.1</v>
      </c>
    </row>
    <row r="26" spans="1:259" ht="48" customHeight="1" x14ac:dyDescent="0.2">
      <c r="A26" s="15" t="s">
        <v>174</v>
      </c>
      <c r="B26" s="31" t="s">
        <v>160</v>
      </c>
      <c r="C26" s="38" t="s">
        <v>587</v>
      </c>
      <c r="D26" s="39"/>
      <c r="E26" s="38" t="s">
        <v>634</v>
      </c>
      <c r="F26" s="38" t="s">
        <v>716</v>
      </c>
      <c r="G26" s="48" t="s">
        <v>716</v>
      </c>
      <c r="H26" s="38" t="s">
        <v>838</v>
      </c>
      <c r="I26" s="38">
        <v>12.1</v>
      </c>
    </row>
    <row r="27" spans="1:259" ht="48" customHeight="1" x14ac:dyDescent="0.2">
      <c r="A27" s="15" t="s">
        <v>175</v>
      </c>
      <c r="B27" s="31" t="s">
        <v>16</v>
      </c>
      <c r="C27" s="38" t="s">
        <v>585</v>
      </c>
      <c r="D27" s="39"/>
      <c r="E27" s="38" t="s">
        <v>633</v>
      </c>
      <c r="F27" s="38" t="s">
        <v>714</v>
      </c>
      <c r="G27" s="48" t="s">
        <v>714</v>
      </c>
      <c r="H27" s="38" t="s">
        <v>835</v>
      </c>
      <c r="I27" s="38" t="s">
        <v>2126</v>
      </c>
    </row>
    <row r="28" spans="1:259" ht="48" customHeight="1" x14ac:dyDescent="0.2">
      <c r="A28" s="15" t="s">
        <v>176</v>
      </c>
      <c r="B28" s="31" t="s">
        <v>2713</v>
      </c>
      <c r="C28" s="38" t="s">
        <v>588</v>
      </c>
      <c r="D28" s="39"/>
      <c r="E28" s="39"/>
      <c r="F28" s="39"/>
      <c r="G28" s="49"/>
      <c r="H28" s="39"/>
      <c r="I28" s="38" t="s">
        <v>2127</v>
      </c>
    </row>
    <row r="29" spans="1:259" s="36" customFormat="1" ht="36" customHeight="1" x14ac:dyDescent="0.2">
      <c r="A29" s="263" t="s">
        <v>18</v>
      </c>
      <c r="B29" s="263"/>
      <c r="C29" s="37" t="str">
        <f>$C$20</f>
        <v>CIS Critical Security Controls v6.1</v>
      </c>
      <c r="D29" s="37" t="str">
        <f>$D$20</f>
        <v>HIPAA</v>
      </c>
      <c r="E29" s="37" t="str">
        <f>$E$20</f>
        <v>ISO 27002:2013</v>
      </c>
      <c r="F29" s="37" t="str">
        <f>$F$20</f>
        <v>NIST Cybersecurity Framework</v>
      </c>
      <c r="G29" s="26" t="str">
        <f>$G$20</f>
        <v>NIST SP 800-171r1</v>
      </c>
      <c r="H29" s="37" t="str">
        <f>$H$20</f>
        <v>NIST SP 800-53r4</v>
      </c>
      <c r="I29" s="175" t="s">
        <v>2063</v>
      </c>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c r="IP29" s="35"/>
      <c r="IQ29" s="35"/>
      <c r="IR29" s="35"/>
      <c r="IS29" s="35"/>
      <c r="IT29" s="35"/>
      <c r="IU29" s="35"/>
      <c r="IV29" s="35"/>
      <c r="IW29" s="35"/>
      <c r="IX29" s="35"/>
      <c r="IY29" s="35"/>
    </row>
    <row r="30" spans="1:259" ht="64.349999999999994" customHeight="1" x14ac:dyDescent="0.2">
      <c r="A30" s="15" t="s">
        <v>177</v>
      </c>
      <c r="B30" s="117" t="s">
        <v>19</v>
      </c>
      <c r="C30" s="39"/>
      <c r="D30" s="39"/>
      <c r="E30" s="38" t="s">
        <v>635</v>
      </c>
      <c r="F30" s="39"/>
      <c r="G30" s="49"/>
      <c r="H30" s="38" t="s">
        <v>839</v>
      </c>
      <c r="I30" s="39"/>
    </row>
    <row r="31" spans="1:259" ht="48" customHeight="1" x14ac:dyDescent="0.2">
      <c r="A31" s="15" t="s">
        <v>178</v>
      </c>
      <c r="B31" s="117" t="s">
        <v>132</v>
      </c>
      <c r="C31" s="39"/>
      <c r="D31" s="39"/>
      <c r="E31" s="38" t="s">
        <v>635</v>
      </c>
      <c r="F31" s="39"/>
      <c r="G31" s="49"/>
      <c r="H31" s="38" t="s">
        <v>840</v>
      </c>
      <c r="I31" s="39"/>
    </row>
    <row r="32" spans="1:259" ht="48" customHeight="1" x14ac:dyDescent="0.2">
      <c r="A32" s="15" t="s">
        <v>179</v>
      </c>
      <c r="B32" s="158" t="s">
        <v>20</v>
      </c>
      <c r="C32" s="39"/>
      <c r="D32" s="39"/>
      <c r="E32" s="38" t="s">
        <v>635</v>
      </c>
      <c r="F32" s="39"/>
      <c r="G32" s="49"/>
      <c r="H32" s="38" t="s">
        <v>840</v>
      </c>
      <c r="I32" s="39"/>
    </row>
    <row r="33" spans="1:259" ht="64.349999999999994" customHeight="1" x14ac:dyDescent="0.2">
      <c r="A33" s="15" t="s">
        <v>180</v>
      </c>
      <c r="B33" s="117" t="s">
        <v>2657</v>
      </c>
      <c r="C33" s="39"/>
      <c r="D33" s="39"/>
      <c r="E33" s="38" t="s">
        <v>633</v>
      </c>
      <c r="F33" s="39"/>
      <c r="G33" s="49"/>
      <c r="H33" s="38" t="s">
        <v>839</v>
      </c>
      <c r="I33" s="38" t="s">
        <v>2128</v>
      </c>
    </row>
    <row r="34" spans="1:259" ht="48" customHeight="1" x14ac:dyDescent="0.2">
      <c r="A34" s="15" t="s">
        <v>181</v>
      </c>
      <c r="B34" s="158" t="s">
        <v>909</v>
      </c>
      <c r="C34" s="39"/>
      <c r="D34" s="39"/>
      <c r="E34" s="38" t="s">
        <v>633</v>
      </c>
      <c r="F34" s="39"/>
      <c r="G34" s="49"/>
      <c r="H34" s="38" t="s">
        <v>839</v>
      </c>
      <c r="I34" s="39"/>
    </row>
    <row r="35" spans="1:259" ht="48" customHeight="1" x14ac:dyDescent="0.2">
      <c r="A35" s="15" t="s">
        <v>182</v>
      </c>
      <c r="B35" s="31" t="s">
        <v>479</v>
      </c>
      <c r="C35" s="39"/>
      <c r="D35" s="38" t="s">
        <v>616</v>
      </c>
      <c r="E35" s="38" t="s">
        <v>636</v>
      </c>
      <c r="F35" s="38" t="s">
        <v>714</v>
      </c>
      <c r="G35" s="48" t="s">
        <v>714</v>
      </c>
      <c r="H35" s="38" t="s">
        <v>839</v>
      </c>
      <c r="I35" s="39"/>
    </row>
    <row r="36" spans="1:259" s="36" customFormat="1" ht="36" customHeight="1" x14ac:dyDescent="0.2">
      <c r="A36" s="263" t="s">
        <v>155</v>
      </c>
      <c r="B36" s="263"/>
      <c r="C36" s="37" t="str">
        <f>$C$20</f>
        <v>CIS Critical Security Controls v6.1</v>
      </c>
      <c r="D36" s="37" t="str">
        <f>$D$20</f>
        <v>HIPAA</v>
      </c>
      <c r="E36" s="37" t="str">
        <f>$E$20</f>
        <v>ISO 27002:2013</v>
      </c>
      <c r="F36" s="37" t="str">
        <f>$F$20</f>
        <v>NIST Cybersecurity Framework</v>
      </c>
      <c r="G36" s="26" t="str">
        <f>$G$20</f>
        <v>NIST SP 800-171r1</v>
      </c>
      <c r="H36" s="37" t="str">
        <f>$H$20</f>
        <v>NIST SP 800-53r4</v>
      </c>
      <c r="I36" s="175" t="s">
        <v>2063</v>
      </c>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c r="IU36" s="35"/>
      <c r="IV36" s="35"/>
      <c r="IW36" s="35"/>
      <c r="IX36" s="35"/>
      <c r="IY36" s="35"/>
    </row>
    <row r="37" spans="1:259" ht="54" customHeight="1" x14ac:dyDescent="0.2">
      <c r="A37" s="15" t="s">
        <v>183</v>
      </c>
      <c r="B37" s="117" t="s">
        <v>156</v>
      </c>
      <c r="C37" s="39"/>
      <c r="D37" s="39"/>
      <c r="E37" s="39"/>
      <c r="F37" s="39"/>
      <c r="G37" s="49"/>
      <c r="H37" s="39"/>
      <c r="I37" s="38">
        <v>12.8</v>
      </c>
    </row>
    <row r="38" spans="1:259" ht="54" customHeight="1" x14ac:dyDescent="0.2">
      <c r="A38" s="15" t="s">
        <v>184</v>
      </c>
      <c r="B38" s="117" t="s">
        <v>158</v>
      </c>
      <c r="C38" s="39"/>
      <c r="D38" s="39"/>
      <c r="E38" s="39"/>
      <c r="F38" s="39"/>
      <c r="G38" s="49"/>
      <c r="H38" s="39"/>
      <c r="I38" s="38">
        <v>12.8</v>
      </c>
    </row>
    <row r="39" spans="1:259" ht="54" customHeight="1" x14ac:dyDescent="0.2">
      <c r="A39" s="15" t="s">
        <v>185</v>
      </c>
      <c r="B39" s="117" t="s">
        <v>910</v>
      </c>
      <c r="C39" s="39"/>
      <c r="D39" s="39"/>
      <c r="E39" s="38" t="s">
        <v>635</v>
      </c>
      <c r="F39" s="39"/>
      <c r="G39" s="49"/>
      <c r="H39" s="39"/>
      <c r="I39" s="38">
        <v>12.8</v>
      </c>
    </row>
    <row r="40" spans="1:259" ht="64.349999999999994" customHeight="1" x14ac:dyDescent="0.2">
      <c r="A40" s="15" t="s">
        <v>186</v>
      </c>
      <c r="B40" s="42" t="s">
        <v>157</v>
      </c>
      <c r="C40" s="39"/>
      <c r="D40" s="39"/>
      <c r="E40" s="39"/>
      <c r="F40" s="39"/>
      <c r="G40" s="39"/>
      <c r="H40" s="39"/>
      <c r="I40" s="39"/>
    </row>
    <row r="41" spans="1:259" ht="54" customHeight="1" x14ac:dyDescent="0.2">
      <c r="A41" s="15" t="s">
        <v>187</v>
      </c>
      <c r="B41" s="117" t="s">
        <v>912</v>
      </c>
      <c r="C41" s="39"/>
      <c r="D41" s="39"/>
      <c r="E41" s="38" t="s">
        <v>635</v>
      </c>
      <c r="F41" s="39"/>
      <c r="G41" s="49"/>
      <c r="H41" s="39"/>
      <c r="I41" s="38" t="s">
        <v>2129</v>
      </c>
    </row>
    <row r="42" spans="1:259" ht="64.349999999999994" customHeight="1" x14ac:dyDescent="0.2">
      <c r="A42" s="15" t="s">
        <v>188</v>
      </c>
      <c r="B42" s="117" t="s">
        <v>2572</v>
      </c>
      <c r="C42" s="39"/>
      <c r="D42" s="39"/>
      <c r="E42" s="38" t="s">
        <v>638</v>
      </c>
      <c r="F42" s="39"/>
      <c r="G42" s="49"/>
      <c r="H42" s="38" t="s">
        <v>841</v>
      </c>
      <c r="I42" s="38">
        <v>12.8</v>
      </c>
    </row>
    <row r="43" spans="1:259" ht="83.1" customHeight="1" x14ac:dyDescent="0.2">
      <c r="A43" s="15" t="s">
        <v>437</v>
      </c>
      <c r="B43" s="117" t="s">
        <v>913</v>
      </c>
      <c r="C43" s="39"/>
      <c r="D43" s="39"/>
      <c r="E43" s="38" t="s">
        <v>635</v>
      </c>
      <c r="F43" s="39"/>
      <c r="G43" s="49"/>
      <c r="H43" s="39"/>
      <c r="I43" s="38">
        <v>12.8</v>
      </c>
    </row>
    <row r="44" spans="1:259" ht="36" customHeight="1" x14ac:dyDescent="0.2">
      <c r="A44" s="263" t="str">
        <f>IF($C$24="No","Third Parties - Optional based on QUALIFIER response.","Third Parties")</f>
        <v>Third Parties</v>
      </c>
      <c r="B44" s="263"/>
      <c r="C44" s="37" t="str">
        <f>$C$20</f>
        <v>CIS Critical Security Controls v6.1</v>
      </c>
      <c r="D44" s="37" t="str">
        <f>$D$20</f>
        <v>HIPAA</v>
      </c>
      <c r="E44" s="37" t="str">
        <f>$E$20</f>
        <v>ISO 27002:2013</v>
      </c>
      <c r="F44" s="37" t="str">
        <f>$F$20</f>
        <v>NIST Cybersecurity Framework</v>
      </c>
      <c r="G44" s="26" t="str">
        <f>$G$20</f>
        <v>NIST SP 800-171r1</v>
      </c>
      <c r="H44" s="37" t="str">
        <f>$H$20</f>
        <v>NIST SP 800-53r4</v>
      </c>
      <c r="I44" s="175" t="s">
        <v>2063</v>
      </c>
    </row>
    <row r="45" spans="1:259" ht="96" customHeight="1" x14ac:dyDescent="0.2">
      <c r="A45" s="15" t="s">
        <v>189</v>
      </c>
      <c r="B45" s="31" t="s">
        <v>133</v>
      </c>
      <c r="C45" s="38" t="s">
        <v>585</v>
      </c>
      <c r="D45" s="39"/>
      <c r="E45" s="38" t="s">
        <v>639</v>
      </c>
      <c r="F45" s="38" t="s">
        <v>785</v>
      </c>
      <c r="G45" s="48" t="s">
        <v>717</v>
      </c>
      <c r="H45" s="38" t="s">
        <v>842</v>
      </c>
      <c r="I45" s="38">
        <v>12.8</v>
      </c>
    </row>
    <row r="46" spans="1:259" ht="80.099999999999994" customHeight="1" x14ac:dyDescent="0.2">
      <c r="A46" s="15" t="s">
        <v>190</v>
      </c>
      <c r="B46" s="31" t="s">
        <v>528</v>
      </c>
      <c r="C46" s="38" t="s">
        <v>585</v>
      </c>
      <c r="D46" s="39"/>
      <c r="E46" s="38" t="s">
        <v>639</v>
      </c>
      <c r="F46" s="38" t="s">
        <v>785</v>
      </c>
      <c r="G46" s="48" t="s">
        <v>717</v>
      </c>
      <c r="H46" s="39"/>
      <c r="I46" s="38">
        <v>12.8</v>
      </c>
    </row>
    <row r="47" spans="1:259" ht="80.099999999999994" customHeight="1" x14ac:dyDescent="0.2">
      <c r="A47" s="15" t="s">
        <v>191</v>
      </c>
      <c r="B47" s="31" t="s">
        <v>22</v>
      </c>
      <c r="C47" s="38" t="s">
        <v>585</v>
      </c>
      <c r="D47" s="39"/>
      <c r="E47" s="38" t="s">
        <v>639</v>
      </c>
      <c r="F47" s="38" t="s">
        <v>714</v>
      </c>
      <c r="G47" s="49"/>
      <c r="H47" s="38" t="s">
        <v>843</v>
      </c>
      <c r="I47" s="38">
        <v>12.8</v>
      </c>
    </row>
    <row r="48" spans="1:259" ht="80.099999999999994" customHeight="1" x14ac:dyDescent="0.2">
      <c r="A48" s="15" t="s">
        <v>436</v>
      </c>
      <c r="B48" s="31" t="s">
        <v>448</v>
      </c>
      <c r="C48" s="39"/>
      <c r="D48" s="39"/>
      <c r="E48" s="38" t="s">
        <v>639</v>
      </c>
      <c r="F48" s="38" t="s">
        <v>715</v>
      </c>
      <c r="G48" s="49"/>
      <c r="H48" s="38" t="s">
        <v>844</v>
      </c>
      <c r="I48" s="38">
        <v>12.8</v>
      </c>
    </row>
    <row r="49" spans="1:259" ht="36" customHeight="1" x14ac:dyDescent="0.2">
      <c r="A49" s="263" t="str">
        <f>IF($C$28="","Consulting",IF($C$28="Yes","Consulting - All questions after this section are OPTIONAL.","Consulting - Optional based on QUALIFIER response."))</f>
        <v>Consulting - Optional based on QUALIFIER response.</v>
      </c>
      <c r="B49" s="263"/>
      <c r="C49" s="37" t="str">
        <f>$C$20</f>
        <v>CIS Critical Security Controls v6.1</v>
      </c>
      <c r="D49" s="37" t="str">
        <f>$D$20</f>
        <v>HIPAA</v>
      </c>
      <c r="E49" s="37" t="str">
        <f>$E$20</f>
        <v>ISO 27002:2013</v>
      </c>
      <c r="F49" s="37" t="str">
        <f>$F$20</f>
        <v>NIST Cybersecurity Framework</v>
      </c>
      <c r="G49" s="26" t="str">
        <f>$G$20</f>
        <v>NIST SP 800-171r1</v>
      </c>
      <c r="H49" s="37" t="str">
        <f>$H$20</f>
        <v>NIST SP 800-53r4</v>
      </c>
      <c r="I49" s="175" t="s">
        <v>2063</v>
      </c>
    </row>
    <row r="50" spans="1:259" ht="36" customHeight="1" x14ac:dyDescent="0.2">
      <c r="A50" s="15" t="s">
        <v>192</v>
      </c>
      <c r="B50" s="31" t="s">
        <v>919</v>
      </c>
      <c r="C50" s="39"/>
      <c r="D50" s="39"/>
      <c r="E50" s="38" t="s">
        <v>635</v>
      </c>
      <c r="F50" s="38" t="s">
        <v>715</v>
      </c>
      <c r="G50" s="49"/>
      <c r="H50" s="39"/>
      <c r="I50" s="39"/>
    </row>
    <row r="51" spans="1:259" ht="63" customHeight="1" x14ac:dyDescent="0.2">
      <c r="A51" s="15" t="s">
        <v>193</v>
      </c>
      <c r="B51" s="31" t="s">
        <v>2688</v>
      </c>
      <c r="C51" s="38" t="s">
        <v>588</v>
      </c>
      <c r="D51" s="39"/>
      <c r="E51" s="38" t="s">
        <v>640</v>
      </c>
      <c r="F51" s="38" t="s">
        <v>715</v>
      </c>
      <c r="G51" s="48" t="s">
        <v>718</v>
      </c>
      <c r="H51" s="38" t="s">
        <v>845</v>
      </c>
      <c r="I51" s="39"/>
    </row>
    <row r="52" spans="1:259" ht="63" customHeight="1" x14ac:dyDescent="0.2">
      <c r="A52" s="15" t="s">
        <v>194</v>
      </c>
      <c r="B52" s="31" t="s">
        <v>2714</v>
      </c>
      <c r="C52" s="38" t="s">
        <v>588</v>
      </c>
      <c r="D52" s="39"/>
      <c r="E52" s="38" t="s">
        <v>641</v>
      </c>
      <c r="F52" s="38" t="s">
        <v>715</v>
      </c>
      <c r="G52" s="48" t="s">
        <v>719</v>
      </c>
      <c r="H52" s="39"/>
      <c r="I52" s="39"/>
    </row>
    <row r="53" spans="1:259" ht="48" customHeight="1" x14ac:dyDescent="0.2">
      <c r="A53" s="15" t="s">
        <v>195</v>
      </c>
      <c r="B53" s="31" t="s">
        <v>2689</v>
      </c>
      <c r="C53" s="38" t="s">
        <v>588</v>
      </c>
      <c r="D53" s="39"/>
      <c r="E53" s="39"/>
      <c r="F53" s="38" t="s">
        <v>715</v>
      </c>
      <c r="G53" s="49"/>
      <c r="H53" s="39"/>
      <c r="I53" s="39"/>
    </row>
    <row r="54" spans="1:259" ht="48" customHeight="1" x14ac:dyDescent="0.2">
      <c r="A54" s="15" t="s">
        <v>196</v>
      </c>
      <c r="B54" s="31" t="s">
        <v>477</v>
      </c>
      <c r="C54" s="38" t="s">
        <v>585</v>
      </c>
      <c r="D54" s="39"/>
      <c r="E54" s="38" t="s">
        <v>633</v>
      </c>
      <c r="F54" s="38" t="s">
        <v>715</v>
      </c>
      <c r="G54" s="49"/>
      <c r="H54" s="39"/>
      <c r="I54" s="39"/>
    </row>
    <row r="55" spans="1:259" ht="48" customHeight="1" x14ac:dyDescent="0.2">
      <c r="A55" s="15" t="s">
        <v>197</v>
      </c>
      <c r="B55" s="31" t="s">
        <v>480</v>
      </c>
      <c r="C55" s="38" t="s">
        <v>585</v>
      </c>
      <c r="D55" s="39"/>
      <c r="E55" s="38" t="s">
        <v>654</v>
      </c>
      <c r="F55" s="38" t="s">
        <v>715</v>
      </c>
      <c r="G55" s="48" t="s">
        <v>717</v>
      </c>
      <c r="H55" s="38" t="s">
        <v>846</v>
      </c>
      <c r="I55" s="39"/>
    </row>
    <row r="56" spans="1:259" s="1" customFormat="1" ht="48" customHeight="1" x14ac:dyDescent="0.2">
      <c r="A56" s="15" t="s">
        <v>198</v>
      </c>
      <c r="B56" s="31" t="s">
        <v>481</v>
      </c>
      <c r="C56" s="38" t="s">
        <v>585</v>
      </c>
      <c r="D56" s="39"/>
      <c r="E56" s="38" t="s">
        <v>655</v>
      </c>
      <c r="F56" s="38" t="s">
        <v>715</v>
      </c>
      <c r="G56" s="48" t="s">
        <v>720</v>
      </c>
      <c r="H56" s="38" t="s">
        <v>846</v>
      </c>
      <c r="I56" s="39"/>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row>
    <row r="57" spans="1:259" ht="36" customHeight="1" x14ac:dyDescent="0.2">
      <c r="A57" s="15" t="s">
        <v>199</v>
      </c>
      <c r="B57" s="31" t="s">
        <v>2690</v>
      </c>
      <c r="C57" s="38" t="s">
        <v>588</v>
      </c>
      <c r="D57" s="39"/>
      <c r="E57" s="38" t="s">
        <v>654</v>
      </c>
      <c r="F57" s="38" t="s">
        <v>715</v>
      </c>
      <c r="G57" s="49"/>
      <c r="H57" s="39"/>
      <c r="I57" s="39"/>
    </row>
    <row r="58" spans="1:259" s="1" customFormat="1" ht="36" customHeight="1" x14ac:dyDescent="0.2">
      <c r="A58" s="15" t="s">
        <v>200</v>
      </c>
      <c r="B58" s="31" t="s">
        <v>23</v>
      </c>
      <c r="C58" s="39"/>
      <c r="D58" s="39"/>
      <c r="E58" s="38" t="s">
        <v>654</v>
      </c>
      <c r="F58" s="38" t="s">
        <v>715</v>
      </c>
      <c r="G58" s="49"/>
      <c r="H58" s="39"/>
      <c r="I58" s="39"/>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2">
      <c r="A59" s="263" t="str">
        <f>IF($C$28="","Application/Service Security",IF($C$28="Yes","App/Service Security - Optional based on QUALIFIER response.","Application/Service Security"))</f>
        <v>Application/Service Security</v>
      </c>
      <c r="B59" s="263"/>
      <c r="C59" s="37" t="str">
        <f>$C$20</f>
        <v>CIS Critical Security Controls v6.1</v>
      </c>
      <c r="D59" s="37" t="str">
        <f>$D$20</f>
        <v>HIPAA</v>
      </c>
      <c r="E59" s="37" t="str">
        <f>$E$20</f>
        <v>ISO 27002:2013</v>
      </c>
      <c r="F59" s="37" t="str">
        <f>$F$20</f>
        <v>NIST Cybersecurity Framework</v>
      </c>
      <c r="G59" s="26" t="str">
        <f>$G$20</f>
        <v>NIST SP 800-171r1</v>
      </c>
      <c r="H59" s="37" t="str">
        <f>$H$20</f>
        <v>NIST SP 800-53r4</v>
      </c>
      <c r="I59" s="175" t="s">
        <v>2063</v>
      </c>
    </row>
    <row r="60" spans="1:259" ht="49.35" customHeight="1" x14ac:dyDescent="0.2">
      <c r="A60" s="15" t="s">
        <v>201</v>
      </c>
      <c r="B60" s="71" t="s">
        <v>914</v>
      </c>
      <c r="C60" s="38" t="s">
        <v>586</v>
      </c>
      <c r="D60" s="39"/>
      <c r="E60" s="39"/>
      <c r="F60" s="38" t="s">
        <v>786</v>
      </c>
      <c r="G60" s="49"/>
      <c r="H60" s="39"/>
      <c r="I60" s="39"/>
    </row>
    <row r="61" spans="1:259" ht="48" customHeight="1" x14ac:dyDescent="0.2">
      <c r="A61" s="15" t="s">
        <v>202</v>
      </c>
      <c r="B61" s="71" t="s">
        <v>915</v>
      </c>
      <c r="C61" s="38" t="s">
        <v>595</v>
      </c>
      <c r="D61" s="39"/>
      <c r="E61" s="38" t="s">
        <v>642</v>
      </c>
      <c r="F61" s="38" t="s">
        <v>786</v>
      </c>
      <c r="G61" s="49"/>
      <c r="H61" s="39"/>
      <c r="I61" s="39"/>
    </row>
    <row r="62" spans="1:259" ht="48" customHeight="1" x14ac:dyDescent="0.2">
      <c r="A62" s="15" t="s">
        <v>553</v>
      </c>
      <c r="B62" s="71" t="s">
        <v>916</v>
      </c>
      <c r="C62" s="176" t="s">
        <v>588</v>
      </c>
      <c r="D62" s="177"/>
      <c r="E62" s="176">
        <v>6.2</v>
      </c>
      <c r="F62" s="176" t="s">
        <v>789</v>
      </c>
      <c r="G62" s="176" t="s">
        <v>719</v>
      </c>
      <c r="H62" s="176" t="s">
        <v>849</v>
      </c>
      <c r="I62" s="176" t="s">
        <v>2130</v>
      </c>
    </row>
    <row r="63" spans="1:259" ht="64.349999999999994" customHeight="1" x14ac:dyDescent="0.2">
      <c r="A63" s="15" t="s">
        <v>203</v>
      </c>
      <c r="B63" s="71" t="s">
        <v>917</v>
      </c>
      <c r="C63" s="38" t="s">
        <v>589</v>
      </c>
      <c r="D63" s="39"/>
      <c r="E63" s="38" t="s">
        <v>644</v>
      </c>
      <c r="F63" s="38" t="s">
        <v>788</v>
      </c>
      <c r="G63" s="48" t="s">
        <v>722</v>
      </c>
      <c r="H63" s="38" t="s">
        <v>848</v>
      </c>
      <c r="I63" s="176" t="s">
        <v>2130</v>
      </c>
    </row>
    <row r="64" spans="1:259" ht="63" customHeight="1" x14ac:dyDescent="0.2">
      <c r="A64" s="198" t="s">
        <v>204</v>
      </c>
      <c r="B64" s="199" t="s">
        <v>2114</v>
      </c>
      <c r="C64" s="38" t="s">
        <v>586</v>
      </c>
      <c r="D64" s="39"/>
      <c r="E64" s="39"/>
      <c r="F64" s="38" t="s">
        <v>786</v>
      </c>
      <c r="G64" s="39"/>
      <c r="H64" s="39"/>
      <c r="I64" s="39"/>
    </row>
    <row r="65" spans="1:259" ht="53.1" customHeight="1" x14ac:dyDescent="0.2">
      <c r="A65" s="15" t="s">
        <v>205</v>
      </c>
      <c r="B65" s="71" t="s">
        <v>918</v>
      </c>
      <c r="C65" s="176" t="s">
        <v>590</v>
      </c>
      <c r="D65" s="177"/>
      <c r="E65" s="176">
        <v>6.2</v>
      </c>
      <c r="F65" s="176" t="s">
        <v>790</v>
      </c>
      <c r="G65" s="176" t="s">
        <v>723</v>
      </c>
      <c r="H65" s="176" t="s">
        <v>850</v>
      </c>
      <c r="I65" s="177"/>
    </row>
    <row r="66" spans="1:259" ht="80.099999999999994" customHeight="1" x14ac:dyDescent="0.2">
      <c r="A66" s="15" t="s">
        <v>206</v>
      </c>
      <c r="B66" s="71" t="s">
        <v>575</v>
      </c>
      <c r="C66" s="176" t="s">
        <v>591</v>
      </c>
      <c r="D66" s="177"/>
      <c r="E66" s="176" t="s">
        <v>645</v>
      </c>
      <c r="F66" s="176" t="s">
        <v>790</v>
      </c>
      <c r="G66" s="177"/>
      <c r="H66" s="176" t="s">
        <v>849</v>
      </c>
      <c r="I66" s="177"/>
    </row>
    <row r="67" spans="1:259" s="1" customFormat="1" ht="80.099999999999994" customHeight="1" x14ac:dyDescent="0.2">
      <c r="A67" s="15" t="s">
        <v>207</v>
      </c>
      <c r="B67" s="31" t="s">
        <v>529</v>
      </c>
      <c r="C67" s="177"/>
      <c r="D67" s="177"/>
      <c r="E67" s="176">
        <v>16</v>
      </c>
      <c r="F67" s="177"/>
      <c r="G67" s="177"/>
      <c r="H67" s="177"/>
      <c r="I67" s="176" t="s">
        <v>2131</v>
      </c>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row>
    <row r="68" spans="1:259" ht="72" customHeight="1" x14ac:dyDescent="0.2">
      <c r="A68" s="15" t="s">
        <v>208</v>
      </c>
      <c r="B68" s="71" t="s">
        <v>449</v>
      </c>
      <c r="C68" s="176" t="s">
        <v>591</v>
      </c>
      <c r="D68" s="177"/>
      <c r="E68" s="176" t="s">
        <v>645</v>
      </c>
      <c r="F68" s="176" t="s">
        <v>791</v>
      </c>
      <c r="G68" s="177"/>
      <c r="H68" s="177"/>
      <c r="I68" s="177"/>
    </row>
    <row r="69" spans="1:259" ht="64.349999999999994" customHeight="1" x14ac:dyDescent="0.2">
      <c r="A69" s="15" t="s">
        <v>209</v>
      </c>
      <c r="B69" s="71" t="s">
        <v>450</v>
      </c>
      <c r="C69" s="176" t="s">
        <v>591</v>
      </c>
      <c r="D69" s="177"/>
      <c r="E69" s="176" t="s">
        <v>646</v>
      </c>
      <c r="F69" s="176" t="s">
        <v>792</v>
      </c>
      <c r="G69" s="177"/>
      <c r="H69" s="176" t="s">
        <v>851</v>
      </c>
      <c r="I69" s="176">
        <v>2.4</v>
      </c>
    </row>
    <row r="70" spans="1:259" ht="64.349999999999994" customHeight="1" x14ac:dyDescent="0.2">
      <c r="A70" s="15" t="s">
        <v>210</v>
      </c>
      <c r="B70" s="71" t="s">
        <v>513</v>
      </c>
      <c r="C70" s="176" t="s">
        <v>585</v>
      </c>
      <c r="D70" s="177"/>
      <c r="E70" s="176" t="s">
        <v>647</v>
      </c>
      <c r="F70" s="177"/>
      <c r="G70" s="177"/>
      <c r="H70" s="177"/>
      <c r="I70" s="177"/>
    </row>
    <row r="71" spans="1:259" ht="48" customHeight="1" x14ac:dyDescent="0.2">
      <c r="A71" s="15" t="s">
        <v>211</v>
      </c>
      <c r="B71" s="71" t="s">
        <v>451</v>
      </c>
      <c r="C71" s="176" t="s">
        <v>592</v>
      </c>
      <c r="D71" s="177"/>
      <c r="E71" s="176" t="s">
        <v>646</v>
      </c>
      <c r="F71" s="177"/>
      <c r="G71" s="177"/>
      <c r="H71" s="177"/>
      <c r="I71" s="177"/>
    </row>
    <row r="72" spans="1:259" ht="65.099999999999994" customHeight="1" x14ac:dyDescent="0.2">
      <c r="A72" s="15" t="s">
        <v>212</v>
      </c>
      <c r="B72" s="71" t="s">
        <v>2093</v>
      </c>
      <c r="C72" s="176" t="s">
        <v>592</v>
      </c>
      <c r="D72" s="177"/>
      <c r="E72" s="176" t="s">
        <v>645</v>
      </c>
      <c r="F72" s="177"/>
      <c r="G72" s="177"/>
      <c r="H72" s="177"/>
      <c r="I72" s="177"/>
    </row>
    <row r="73" spans="1:259" ht="65.099999999999994" customHeight="1" x14ac:dyDescent="0.2">
      <c r="A73" s="15" t="s">
        <v>213</v>
      </c>
      <c r="B73" s="71" t="s">
        <v>114</v>
      </c>
      <c r="C73" s="176" t="s">
        <v>591</v>
      </c>
      <c r="D73" s="177"/>
      <c r="E73" s="177"/>
      <c r="F73" s="177"/>
      <c r="G73" s="177"/>
      <c r="H73" s="177"/>
      <c r="I73" s="177"/>
    </row>
    <row r="74" spans="1:259" ht="63" customHeight="1" x14ac:dyDescent="0.2">
      <c r="A74" s="15" t="s">
        <v>554</v>
      </c>
      <c r="B74" s="71" t="s">
        <v>452</v>
      </c>
      <c r="C74" s="176" t="s">
        <v>588</v>
      </c>
      <c r="D74" s="177"/>
      <c r="E74" s="176" t="s">
        <v>649</v>
      </c>
      <c r="F74" s="176" t="s">
        <v>788</v>
      </c>
      <c r="G74" s="176" t="s">
        <v>724</v>
      </c>
      <c r="H74" s="176" t="s">
        <v>852</v>
      </c>
      <c r="I74" s="176" t="s">
        <v>2132</v>
      </c>
    </row>
    <row r="75" spans="1:259" ht="65.099999999999994" customHeight="1" x14ac:dyDescent="0.2">
      <c r="A75" s="15" t="s">
        <v>214</v>
      </c>
      <c r="B75" s="71" t="s">
        <v>514</v>
      </c>
      <c r="C75" s="176" t="s">
        <v>593</v>
      </c>
      <c r="D75" s="177"/>
      <c r="E75" s="176">
        <v>9.1999999999999993</v>
      </c>
      <c r="F75" s="176" t="s">
        <v>788</v>
      </c>
      <c r="G75" s="176" t="s">
        <v>725</v>
      </c>
      <c r="H75" s="176" t="s">
        <v>853</v>
      </c>
      <c r="I75" s="176" t="s">
        <v>2133</v>
      </c>
    </row>
    <row r="76" spans="1:259" ht="65.099999999999994" customHeight="1" x14ac:dyDescent="0.2">
      <c r="A76" s="15" t="s">
        <v>215</v>
      </c>
      <c r="B76" s="71" t="s">
        <v>32</v>
      </c>
      <c r="C76" s="176" t="s">
        <v>588</v>
      </c>
      <c r="D76" s="177"/>
      <c r="E76" s="176" t="s">
        <v>644</v>
      </c>
      <c r="F76" s="176" t="s">
        <v>787</v>
      </c>
      <c r="G76" s="176" t="s">
        <v>719</v>
      </c>
      <c r="H76" s="177"/>
      <c r="I76" s="177"/>
    </row>
    <row r="77" spans="1:259" ht="54" customHeight="1" x14ac:dyDescent="0.2">
      <c r="A77" s="15" t="s">
        <v>216</v>
      </c>
      <c r="B77" s="71" t="s">
        <v>512</v>
      </c>
      <c r="C77" s="177"/>
      <c r="D77" s="177"/>
      <c r="E77" s="177"/>
      <c r="F77" s="177"/>
      <c r="G77" s="177"/>
      <c r="H77" s="177"/>
      <c r="I77" s="176" t="s">
        <v>2134</v>
      </c>
    </row>
    <row r="78" spans="1:259" ht="36" customHeight="1" x14ac:dyDescent="0.2">
      <c r="A78" s="263" t="str">
        <f>IF($C$28="","Authentication, Authorization, and Accounting",IF($C$28="Yes","AAA - Optional based on QUALIFIER response.","Authentication, Authorization, and Accounting"))</f>
        <v>Authentication, Authorization, and Accounting</v>
      </c>
      <c r="B78" s="263"/>
      <c r="C78" s="37" t="str">
        <f>$C$20</f>
        <v>CIS Critical Security Controls v6.1</v>
      </c>
      <c r="D78" s="37" t="str">
        <f>$D$20</f>
        <v>HIPAA</v>
      </c>
      <c r="E78" s="37" t="str">
        <f>$E$20</f>
        <v>ISO 27002:2013</v>
      </c>
      <c r="F78" s="37" t="str">
        <f>$F$20</f>
        <v>NIST Cybersecurity Framework</v>
      </c>
      <c r="G78" s="26" t="str">
        <f>$G$20</f>
        <v>NIST SP 800-171r1</v>
      </c>
      <c r="H78" s="37" t="str">
        <f>$H$20</f>
        <v>NIST SP 800-53r4</v>
      </c>
      <c r="I78" s="175" t="s">
        <v>2063</v>
      </c>
    </row>
    <row r="79" spans="1:259" ht="36" customHeight="1" x14ac:dyDescent="0.2">
      <c r="A79" s="15" t="s">
        <v>218</v>
      </c>
      <c r="B79" s="31" t="s">
        <v>35</v>
      </c>
      <c r="C79" s="38" t="s">
        <v>594</v>
      </c>
      <c r="D79" s="43"/>
      <c r="E79" s="38" t="s">
        <v>652</v>
      </c>
      <c r="F79" s="38" t="s">
        <v>794</v>
      </c>
      <c r="G79" s="48" t="s">
        <v>726</v>
      </c>
      <c r="H79" s="38" t="s">
        <v>854</v>
      </c>
      <c r="I79" s="38" t="s">
        <v>2135</v>
      </c>
    </row>
    <row r="80" spans="1:259" ht="48" customHeight="1" x14ac:dyDescent="0.2">
      <c r="A80" s="15" t="s">
        <v>219</v>
      </c>
      <c r="B80" s="31" t="s">
        <v>530</v>
      </c>
      <c r="C80" s="38" t="s">
        <v>594</v>
      </c>
      <c r="D80" s="43"/>
      <c r="E80" s="38" t="s">
        <v>652</v>
      </c>
      <c r="F80" s="38" t="s">
        <v>794</v>
      </c>
      <c r="G80" s="48" t="s">
        <v>727</v>
      </c>
      <c r="H80" s="38" t="s">
        <v>855</v>
      </c>
      <c r="I80" s="38" t="s">
        <v>2135</v>
      </c>
    </row>
    <row r="81" spans="1:259" ht="48" customHeight="1" x14ac:dyDescent="0.2">
      <c r="A81" s="15" t="s">
        <v>220</v>
      </c>
      <c r="B81" s="31" t="s">
        <v>2084</v>
      </c>
      <c r="C81" s="38" t="s">
        <v>594</v>
      </c>
      <c r="D81" s="43"/>
      <c r="E81" s="38" t="s">
        <v>652</v>
      </c>
      <c r="F81" s="38" t="s">
        <v>794</v>
      </c>
      <c r="G81" s="49"/>
      <c r="H81" s="39"/>
      <c r="I81" s="38" t="s">
        <v>2135</v>
      </c>
    </row>
    <row r="82" spans="1:259" ht="65.099999999999994" customHeight="1" x14ac:dyDescent="0.2">
      <c r="A82" s="15" t="s">
        <v>221</v>
      </c>
      <c r="B82" s="31" t="s">
        <v>2085</v>
      </c>
      <c r="C82" s="38" t="s">
        <v>594</v>
      </c>
      <c r="D82" s="43"/>
      <c r="E82" s="38" t="s">
        <v>652</v>
      </c>
      <c r="F82" s="38" t="s">
        <v>794</v>
      </c>
      <c r="G82" s="48" t="s">
        <v>728</v>
      </c>
      <c r="H82" s="38" t="s">
        <v>854</v>
      </c>
      <c r="I82" s="38" t="s">
        <v>2136</v>
      </c>
    </row>
    <row r="83" spans="1:259" ht="65.099999999999994" customHeight="1" x14ac:dyDescent="0.2">
      <c r="A83" s="15" t="s">
        <v>222</v>
      </c>
      <c r="B83" s="31" t="s">
        <v>482</v>
      </c>
      <c r="C83" s="38" t="s">
        <v>594</v>
      </c>
      <c r="D83" s="43"/>
      <c r="E83" s="38" t="s">
        <v>653</v>
      </c>
      <c r="F83" s="38" t="s">
        <v>794</v>
      </c>
      <c r="G83" s="48" t="s">
        <v>729</v>
      </c>
      <c r="H83" s="38" t="s">
        <v>856</v>
      </c>
      <c r="I83" s="38" t="s">
        <v>2135</v>
      </c>
    </row>
    <row r="84" spans="1:259" ht="48" customHeight="1" x14ac:dyDescent="0.2">
      <c r="A84" s="15" t="s">
        <v>223</v>
      </c>
      <c r="B84" s="31" t="s">
        <v>2582</v>
      </c>
      <c r="C84" s="38" t="s">
        <v>594</v>
      </c>
      <c r="D84" s="43"/>
      <c r="E84" s="38" t="s">
        <v>654</v>
      </c>
      <c r="F84" s="39"/>
      <c r="G84" s="49"/>
      <c r="H84" s="39"/>
      <c r="I84" s="38" t="s">
        <v>2136</v>
      </c>
    </row>
    <row r="85" spans="1:259" ht="36" customHeight="1" x14ac:dyDescent="0.2">
      <c r="A85" s="15" t="s">
        <v>224</v>
      </c>
      <c r="B85" s="31" t="s">
        <v>36</v>
      </c>
      <c r="C85" s="38" t="s">
        <v>594</v>
      </c>
      <c r="D85" s="43"/>
      <c r="E85" s="38" t="s">
        <v>654</v>
      </c>
      <c r="F85" s="38" t="s">
        <v>794</v>
      </c>
      <c r="G85" s="49"/>
      <c r="H85" s="39"/>
      <c r="I85" s="38" t="s">
        <v>2135</v>
      </c>
    </row>
    <row r="86" spans="1:259" ht="36" customHeight="1" x14ac:dyDescent="0.2">
      <c r="A86" s="15" t="s">
        <v>225</v>
      </c>
      <c r="B86" s="31" t="s">
        <v>37</v>
      </c>
      <c r="C86" s="38" t="s">
        <v>594</v>
      </c>
      <c r="D86" s="43"/>
      <c r="E86" s="38" t="s">
        <v>654</v>
      </c>
      <c r="F86" s="38" t="s">
        <v>794</v>
      </c>
      <c r="G86" s="48" t="s">
        <v>730</v>
      </c>
      <c r="H86" s="38" t="s">
        <v>855</v>
      </c>
      <c r="I86" s="38" t="s">
        <v>2135</v>
      </c>
    </row>
    <row r="87" spans="1:259" ht="47.1" customHeight="1" x14ac:dyDescent="0.2">
      <c r="A87" s="15" t="s">
        <v>226</v>
      </c>
      <c r="B87" s="31" t="s">
        <v>135</v>
      </c>
      <c r="C87" s="38" t="s">
        <v>594</v>
      </c>
      <c r="D87" s="43"/>
      <c r="E87" s="38" t="s">
        <v>654</v>
      </c>
      <c r="F87" s="38" t="s">
        <v>787</v>
      </c>
      <c r="G87" s="48" t="s">
        <v>731</v>
      </c>
      <c r="H87" s="38" t="s">
        <v>857</v>
      </c>
      <c r="I87" s="38" t="s">
        <v>2135</v>
      </c>
    </row>
    <row r="88" spans="1:259" ht="53.1" customHeight="1" x14ac:dyDescent="0.2">
      <c r="A88" s="15" t="s">
        <v>227</v>
      </c>
      <c r="B88" s="31" t="s">
        <v>920</v>
      </c>
      <c r="C88" s="38" t="s">
        <v>594</v>
      </c>
      <c r="D88" s="43"/>
      <c r="E88" s="38" t="s">
        <v>650</v>
      </c>
      <c r="F88" s="38" t="s">
        <v>795</v>
      </c>
      <c r="G88" s="49"/>
      <c r="H88" s="39"/>
      <c r="I88" s="39"/>
    </row>
    <row r="89" spans="1:259" ht="47.1" customHeight="1" x14ac:dyDescent="0.2">
      <c r="A89" s="15" t="s">
        <v>228</v>
      </c>
      <c r="B89" s="31" t="s">
        <v>531</v>
      </c>
      <c r="C89" s="38" t="s">
        <v>594</v>
      </c>
      <c r="D89" s="43"/>
      <c r="E89" s="38" t="s">
        <v>654</v>
      </c>
      <c r="F89" s="38" t="s">
        <v>795</v>
      </c>
      <c r="G89" s="49"/>
      <c r="H89" s="39"/>
      <c r="I89" s="38" t="s">
        <v>2135</v>
      </c>
    </row>
    <row r="90" spans="1:259" ht="54" customHeight="1" x14ac:dyDescent="0.2">
      <c r="A90" s="15" t="s">
        <v>229</v>
      </c>
      <c r="B90" s="31" t="s">
        <v>134</v>
      </c>
      <c r="C90" s="38" t="s">
        <v>594</v>
      </c>
      <c r="D90" s="43"/>
      <c r="E90" s="38" t="s">
        <v>650</v>
      </c>
      <c r="F90" s="38" t="s">
        <v>795</v>
      </c>
      <c r="G90" s="49"/>
      <c r="H90" s="39"/>
      <c r="I90" s="39"/>
    </row>
    <row r="91" spans="1:259" ht="54" customHeight="1" x14ac:dyDescent="0.2">
      <c r="A91" s="15" t="s">
        <v>230</v>
      </c>
      <c r="B91" s="31" t="s">
        <v>95</v>
      </c>
      <c r="C91" s="38" t="s">
        <v>594</v>
      </c>
      <c r="D91" s="43"/>
      <c r="E91" s="39"/>
      <c r="F91" s="38" t="s">
        <v>795</v>
      </c>
      <c r="G91" s="49"/>
      <c r="H91" s="39"/>
      <c r="I91" s="39"/>
    </row>
    <row r="92" spans="1:259" ht="47.1" customHeight="1" x14ac:dyDescent="0.2">
      <c r="A92" s="15" t="s">
        <v>231</v>
      </c>
      <c r="B92" s="31" t="s">
        <v>532</v>
      </c>
      <c r="C92" s="38" t="s">
        <v>594</v>
      </c>
      <c r="D92" s="43"/>
      <c r="E92" s="39"/>
      <c r="F92" s="38" t="s">
        <v>795</v>
      </c>
      <c r="G92" s="48" t="s">
        <v>732</v>
      </c>
      <c r="H92" s="39"/>
      <c r="I92" s="38" t="s">
        <v>2135</v>
      </c>
    </row>
    <row r="93" spans="1:259" ht="48" customHeight="1" x14ac:dyDescent="0.2">
      <c r="A93" s="15" t="s">
        <v>232</v>
      </c>
      <c r="B93" s="31" t="s">
        <v>555</v>
      </c>
      <c r="C93" s="38" t="s">
        <v>596</v>
      </c>
      <c r="D93" s="43"/>
      <c r="E93" s="38" t="s">
        <v>651</v>
      </c>
      <c r="F93" s="38" t="s">
        <v>796</v>
      </c>
      <c r="G93" s="48" t="s">
        <v>733</v>
      </c>
      <c r="H93" s="38" t="s">
        <v>858</v>
      </c>
      <c r="I93" s="38" t="s">
        <v>2137</v>
      </c>
    </row>
    <row r="94" spans="1:259" ht="84" customHeight="1" x14ac:dyDescent="0.2">
      <c r="A94" s="15" t="s">
        <v>233</v>
      </c>
      <c r="B94" s="31" t="s">
        <v>2086</v>
      </c>
      <c r="C94" s="38" t="s">
        <v>596</v>
      </c>
      <c r="D94" s="43"/>
      <c r="E94" s="38" t="s">
        <v>651</v>
      </c>
      <c r="F94" s="38" t="s">
        <v>796</v>
      </c>
      <c r="G94" s="48" t="s">
        <v>734</v>
      </c>
      <c r="H94" s="38" t="s">
        <v>859</v>
      </c>
      <c r="I94" s="38" t="s">
        <v>2138</v>
      </c>
    </row>
    <row r="95" spans="1:259" ht="64.349999999999994" customHeight="1" x14ac:dyDescent="0.2">
      <c r="A95" s="15" t="s">
        <v>234</v>
      </c>
      <c r="B95" s="31" t="s">
        <v>453</v>
      </c>
      <c r="C95" s="38" t="s">
        <v>596</v>
      </c>
      <c r="D95" s="43"/>
      <c r="E95" s="38" t="s">
        <v>651</v>
      </c>
      <c r="F95" s="38" t="s">
        <v>796</v>
      </c>
      <c r="G95" s="48" t="s">
        <v>735</v>
      </c>
      <c r="H95" s="38" t="s">
        <v>860</v>
      </c>
      <c r="I95" s="38">
        <v>10.7</v>
      </c>
    </row>
    <row r="96" spans="1:259" s="36" customFormat="1" ht="36" customHeight="1" x14ac:dyDescent="0.2">
      <c r="A96" s="263" t="str">
        <f>IF(OR($C$25="No",$C$28="Yes"),"BCP - Optional based on QUALIFIER response.","Business Continuity Plan")</f>
        <v>Business Continuity Plan</v>
      </c>
      <c r="B96" s="263"/>
      <c r="C96" s="37" t="str">
        <f>$C$20</f>
        <v>CIS Critical Security Controls v6.1</v>
      </c>
      <c r="D96" s="37" t="str">
        <f>$D$20</f>
        <v>HIPAA</v>
      </c>
      <c r="E96" s="37" t="str">
        <f>$E$20</f>
        <v>ISO 27002:2013</v>
      </c>
      <c r="F96" s="37" t="str">
        <f>$F$20</f>
        <v>NIST Cybersecurity Framework</v>
      </c>
      <c r="G96" s="26" t="str">
        <f>$G$20</f>
        <v>NIST SP 800-171r1</v>
      </c>
      <c r="H96" s="37" t="str">
        <f>$H$20</f>
        <v>NIST SP 800-53r4</v>
      </c>
      <c r="I96" s="175" t="s">
        <v>2063</v>
      </c>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c r="HX96" s="35"/>
      <c r="HY96" s="35"/>
      <c r="HZ96" s="35"/>
      <c r="IA96" s="35"/>
      <c r="IB96" s="35"/>
      <c r="IC96" s="35"/>
      <c r="ID96" s="35"/>
      <c r="IE96" s="35"/>
      <c r="IF96" s="35"/>
      <c r="IG96" s="35"/>
      <c r="IH96" s="35"/>
      <c r="II96" s="35"/>
      <c r="IJ96" s="35"/>
      <c r="IK96" s="35"/>
      <c r="IL96" s="35"/>
      <c r="IM96" s="35"/>
      <c r="IN96" s="35"/>
      <c r="IO96" s="35"/>
      <c r="IP96" s="35"/>
      <c r="IQ96" s="35"/>
      <c r="IR96" s="35"/>
      <c r="IS96" s="35"/>
      <c r="IT96" s="35"/>
      <c r="IU96" s="35"/>
      <c r="IV96" s="35"/>
      <c r="IW96" s="35"/>
      <c r="IX96" s="35"/>
      <c r="IY96" s="35"/>
    </row>
    <row r="97" spans="1:9" ht="48" customHeight="1" x14ac:dyDescent="0.2">
      <c r="A97" s="15" t="s">
        <v>217</v>
      </c>
      <c r="B97" s="31" t="s">
        <v>556</v>
      </c>
      <c r="C97" s="38" t="s">
        <v>587</v>
      </c>
      <c r="D97" s="43"/>
      <c r="E97" s="38" t="s">
        <v>657</v>
      </c>
      <c r="F97" s="38" t="s">
        <v>716</v>
      </c>
      <c r="G97" s="48" t="s">
        <v>736</v>
      </c>
      <c r="H97" s="38" t="s">
        <v>861</v>
      </c>
      <c r="I97" s="49"/>
    </row>
    <row r="98" spans="1:9" ht="47.1" customHeight="1" x14ac:dyDescent="0.2">
      <c r="A98" s="15" t="s">
        <v>235</v>
      </c>
      <c r="B98" s="31" t="s">
        <v>2691</v>
      </c>
      <c r="C98" s="38" t="s">
        <v>587</v>
      </c>
      <c r="D98" s="43"/>
      <c r="E98" s="39"/>
      <c r="F98" s="38" t="s">
        <v>716</v>
      </c>
      <c r="G98" s="48" t="s">
        <v>736</v>
      </c>
      <c r="H98" s="38" t="s">
        <v>862</v>
      </c>
      <c r="I98" s="49"/>
    </row>
    <row r="99" spans="1:9" ht="47.1" customHeight="1" x14ac:dyDescent="0.2">
      <c r="A99" s="15" t="s">
        <v>236</v>
      </c>
      <c r="B99" s="31" t="s">
        <v>120</v>
      </c>
      <c r="C99" s="38" t="s">
        <v>587</v>
      </c>
      <c r="D99" s="43"/>
      <c r="E99" s="38" t="s">
        <v>657</v>
      </c>
      <c r="F99" s="38" t="s">
        <v>716</v>
      </c>
      <c r="G99" s="48" t="s">
        <v>736</v>
      </c>
      <c r="H99" s="38" t="s">
        <v>861</v>
      </c>
      <c r="I99" s="49"/>
    </row>
    <row r="100" spans="1:9" ht="47.1" customHeight="1" x14ac:dyDescent="0.2">
      <c r="A100" s="15" t="s">
        <v>237</v>
      </c>
      <c r="B100" s="31" t="s">
        <v>123</v>
      </c>
      <c r="C100" s="38" t="s">
        <v>587</v>
      </c>
      <c r="D100" s="43"/>
      <c r="E100" s="38" t="s">
        <v>660</v>
      </c>
      <c r="F100" s="38" t="s">
        <v>716</v>
      </c>
      <c r="G100" s="48" t="s">
        <v>736</v>
      </c>
      <c r="H100" s="38" t="s">
        <v>861</v>
      </c>
      <c r="I100" s="49"/>
    </row>
    <row r="101" spans="1:9" ht="47.1" customHeight="1" x14ac:dyDescent="0.2">
      <c r="A101" s="15" t="s">
        <v>238</v>
      </c>
      <c r="B101" s="31" t="s">
        <v>124</v>
      </c>
      <c r="C101" s="38" t="s">
        <v>587</v>
      </c>
      <c r="D101" s="43"/>
      <c r="E101" s="38" t="s">
        <v>634</v>
      </c>
      <c r="F101" s="38" t="s">
        <v>716</v>
      </c>
      <c r="G101" s="48" t="s">
        <v>736</v>
      </c>
      <c r="H101" s="38" t="s">
        <v>861</v>
      </c>
      <c r="I101" s="49"/>
    </row>
    <row r="102" spans="1:9" ht="48" customHeight="1" x14ac:dyDescent="0.2">
      <c r="A102" s="15" t="s">
        <v>239</v>
      </c>
      <c r="B102" s="31" t="s">
        <v>557</v>
      </c>
      <c r="C102" s="38" t="s">
        <v>587</v>
      </c>
      <c r="D102" s="43"/>
      <c r="E102" s="38" t="s">
        <v>634</v>
      </c>
      <c r="F102" s="38" t="s">
        <v>716</v>
      </c>
      <c r="G102" s="48" t="s">
        <v>736</v>
      </c>
      <c r="H102" s="108" t="s">
        <v>861</v>
      </c>
      <c r="I102" s="49"/>
    </row>
    <row r="103" spans="1:9" ht="48" customHeight="1" x14ac:dyDescent="0.2">
      <c r="A103" s="15" t="s">
        <v>240</v>
      </c>
      <c r="B103" s="31" t="s">
        <v>2087</v>
      </c>
      <c r="C103" s="38" t="s">
        <v>587</v>
      </c>
      <c r="D103" s="43"/>
      <c r="E103" s="38" t="s">
        <v>658</v>
      </c>
      <c r="F103" s="38" t="s">
        <v>716</v>
      </c>
      <c r="G103" s="48" t="s">
        <v>736</v>
      </c>
      <c r="H103" s="38" t="s">
        <v>861</v>
      </c>
      <c r="I103" s="49"/>
    </row>
    <row r="104" spans="1:9" ht="47.1" customHeight="1" x14ac:dyDescent="0.2">
      <c r="A104" s="15" t="s">
        <v>241</v>
      </c>
      <c r="B104" s="31" t="s">
        <v>125</v>
      </c>
      <c r="C104" s="38" t="s">
        <v>587</v>
      </c>
      <c r="D104" s="43"/>
      <c r="E104" s="38" t="s">
        <v>662</v>
      </c>
      <c r="F104" s="38" t="s">
        <v>716</v>
      </c>
      <c r="G104" s="48" t="s">
        <v>737</v>
      </c>
      <c r="H104" s="38" t="s">
        <v>863</v>
      </c>
      <c r="I104" s="38" t="s">
        <v>2132</v>
      </c>
    </row>
    <row r="105" spans="1:9" ht="47.1" customHeight="1" x14ac:dyDescent="0.2">
      <c r="A105" s="15" t="s">
        <v>242</v>
      </c>
      <c r="B105" s="31" t="s">
        <v>126</v>
      </c>
      <c r="C105" s="38" t="s">
        <v>587</v>
      </c>
      <c r="D105" s="43"/>
      <c r="E105" s="38" t="s">
        <v>661</v>
      </c>
      <c r="F105" s="38" t="s">
        <v>716</v>
      </c>
      <c r="G105" s="49"/>
      <c r="H105" s="38" t="s">
        <v>862</v>
      </c>
      <c r="I105" s="38" t="s">
        <v>2132</v>
      </c>
    </row>
    <row r="106" spans="1:9" ht="47.1" customHeight="1" x14ac:dyDescent="0.2">
      <c r="A106" s="15" t="s">
        <v>243</v>
      </c>
      <c r="B106" s="31" t="s">
        <v>127</v>
      </c>
      <c r="C106" s="38" t="s">
        <v>587</v>
      </c>
      <c r="D106" s="43"/>
      <c r="E106" s="38" t="s">
        <v>659</v>
      </c>
      <c r="F106" s="38" t="s">
        <v>716</v>
      </c>
      <c r="G106" s="49"/>
      <c r="H106" s="38" t="s">
        <v>862</v>
      </c>
      <c r="I106" s="38">
        <v>12.1</v>
      </c>
    </row>
    <row r="107" spans="1:9" ht="47.1" customHeight="1" x14ac:dyDescent="0.2">
      <c r="A107" s="15" t="s">
        <v>244</v>
      </c>
      <c r="B107" s="31" t="s">
        <v>128</v>
      </c>
      <c r="C107" s="38" t="s">
        <v>587</v>
      </c>
      <c r="D107" s="43"/>
      <c r="E107" s="38" t="s">
        <v>658</v>
      </c>
      <c r="F107" s="38" t="s">
        <v>716</v>
      </c>
      <c r="G107" s="49"/>
      <c r="H107" s="38" t="s">
        <v>862</v>
      </c>
      <c r="I107" s="38">
        <v>12.1</v>
      </c>
    </row>
    <row r="108" spans="1:9" ht="64.349999999999994" customHeight="1" x14ac:dyDescent="0.2">
      <c r="A108" s="15" t="s">
        <v>245</v>
      </c>
      <c r="B108" s="31" t="s">
        <v>2088</v>
      </c>
      <c r="C108" s="38" t="s">
        <v>587</v>
      </c>
      <c r="D108" s="43"/>
      <c r="E108" s="39"/>
      <c r="F108" s="38" t="s">
        <v>716</v>
      </c>
      <c r="G108" s="49"/>
      <c r="H108" s="38" t="s">
        <v>862</v>
      </c>
      <c r="I108" s="38">
        <v>12.1</v>
      </c>
    </row>
    <row r="109" spans="1:9" ht="36" customHeight="1" x14ac:dyDescent="0.2">
      <c r="A109" s="263" t="str">
        <f>IF($C$28="","Change Management",IF($C$28="Yes","Change Management - Optional based on QUALIFIER response.","Change Management"))</f>
        <v>Change Management</v>
      </c>
      <c r="B109" s="263"/>
      <c r="C109" s="37" t="str">
        <f>$C$20</f>
        <v>CIS Critical Security Controls v6.1</v>
      </c>
      <c r="D109" s="37" t="str">
        <f>$D$20</f>
        <v>HIPAA</v>
      </c>
      <c r="E109" s="37" t="str">
        <f>$E$20</f>
        <v>ISO 27002:2013</v>
      </c>
      <c r="F109" s="37" t="str">
        <f>$F$20</f>
        <v>NIST Cybersecurity Framework</v>
      </c>
      <c r="G109" s="26" t="str">
        <f>$G$20</f>
        <v>NIST SP 800-171r1</v>
      </c>
      <c r="H109" s="37" t="str">
        <f>$H$20</f>
        <v>NIST SP 800-53r4</v>
      </c>
      <c r="I109" s="175" t="s">
        <v>2063</v>
      </c>
    </row>
    <row r="110" spans="1:9" ht="48" customHeight="1" x14ac:dyDescent="0.2">
      <c r="A110" s="15" t="s">
        <v>246</v>
      </c>
      <c r="B110" s="31" t="s">
        <v>102</v>
      </c>
      <c r="C110" s="38" t="s">
        <v>587</v>
      </c>
      <c r="D110" s="43"/>
      <c r="E110" s="38" t="s">
        <v>663</v>
      </c>
      <c r="F110" s="38" t="s">
        <v>797</v>
      </c>
      <c r="G110" s="48" t="s">
        <v>738</v>
      </c>
      <c r="H110" s="38" t="s">
        <v>864</v>
      </c>
      <c r="I110" s="38" t="s">
        <v>2140</v>
      </c>
    </row>
    <row r="111" spans="1:9" ht="80.099999999999994" customHeight="1" x14ac:dyDescent="0.2">
      <c r="A111" s="15" t="s">
        <v>247</v>
      </c>
      <c r="B111" s="31" t="s">
        <v>515</v>
      </c>
      <c r="C111" s="38" t="s">
        <v>587</v>
      </c>
      <c r="D111" s="43"/>
      <c r="E111" s="38" t="s">
        <v>663</v>
      </c>
      <c r="F111" s="38" t="s">
        <v>798</v>
      </c>
      <c r="G111" s="48" t="s">
        <v>739</v>
      </c>
      <c r="H111" s="38" t="s">
        <v>864</v>
      </c>
      <c r="I111" s="38" t="s">
        <v>2140</v>
      </c>
    </row>
    <row r="112" spans="1:9" ht="64.349999999999994" customHeight="1" x14ac:dyDescent="0.2">
      <c r="A112" s="15" t="s">
        <v>248</v>
      </c>
      <c r="B112" s="31" t="s">
        <v>2692</v>
      </c>
      <c r="C112" s="38" t="s">
        <v>587</v>
      </c>
      <c r="D112" s="43"/>
      <c r="E112" s="38" t="s">
        <v>663</v>
      </c>
      <c r="F112" s="39"/>
      <c r="G112" s="49"/>
      <c r="H112" s="38" t="s">
        <v>864</v>
      </c>
      <c r="I112" s="38" t="s">
        <v>2141</v>
      </c>
    </row>
    <row r="113" spans="1:259" ht="64.349999999999994" customHeight="1" x14ac:dyDescent="0.2">
      <c r="A113" s="15" t="s">
        <v>249</v>
      </c>
      <c r="B113" s="31" t="s">
        <v>99</v>
      </c>
      <c r="C113" s="38" t="s">
        <v>587</v>
      </c>
      <c r="D113" s="44"/>
      <c r="E113" s="39"/>
      <c r="F113" s="39"/>
      <c r="G113" s="49"/>
      <c r="H113" s="38" t="s">
        <v>864</v>
      </c>
      <c r="I113" s="38">
        <v>12.1</v>
      </c>
    </row>
    <row r="114" spans="1:259" ht="64.349999999999994" customHeight="1" x14ac:dyDescent="0.2">
      <c r="A114" s="15" t="s">
        <v>250</v>
      </c>
      <c r="B114" s="31" t="s">
        <v>458</v>
      </c>
      <c r="C114" s="38" t="s">
        <v>591</v>
      </c>
      <c r="D114" s="43"/>
      <c r="E114" s="39"/>
      <c r="F114" s="39"/>
      <c r="G114" s="49"/>
      <c r="H114" s="38" t="s">
        <v>864</v>
      </c>
      <c r="I114" s="38" t="s">
        <v>2142</v>
      </c>
    </row>
    <row r="115" spans="1:259" ht="64.349999999999994" customHeight="1" x14ac:dyDescent="0.2">
      <c r="A115" s="15" t="s">
        <v>251</v>
      </c>
      <c r="B115" s="31" t="s">
        <v>113</v>
      </c>
      <c r="C115" s="38" t="s">
        <v>591</v>
      </c>
      <c r="D115" s="43"/>
      <c r="E115" s="39"/>
      <c r="F115" s="39"/>
      <c r="G115" s="49"/>
      <c r="H115" s="38" t="s">
        <v>864</v>
      </c>
      <c r="I115" s="49"/>
    </row>
    <row r="116" spans="1:259" ht="64.349999999999994" customHeight="1" x14ac:dyDescent="0.2">
      <c r="A116" s="15" t="s">
        <v>252</v>
      </c>
      <c r="B116" s="31" t="s">
        <v>2090</v>
      </c>
      <c r="C116" s="38" t="s">
        <v>587</v>
      </c>
      <c r="D116" s="43"/>
      <c r="E116" s="39"/>
      <c r="F116" s="39"/>
      <c r="G116" s="49"/>
      <c r="H116" s="38" t="s">
        <v>864</v>
      </c>
      <c r="I116" s="49"/>
    </row>
    <row r="117" spans="1:259" ht="64.349999999999994" customHeight="1" x14ac:dyDescent="0.2">
      <c r="A117" s="15" t="s">
        <v>253</v>
      </c>
      <c r="B117" s="31" t="s">
        <v>2094</v>
      </c>
      <c r="C117" s="38" t="s">
        <v>591</v>
      </c>
      <c r="D117" s="43"/>
      <c r="E117" s="38" t="s">
        <v>646</v>
      </c>
      <c r="F117" s="38" t="s">
        <v>793</v>
      </c>
      <c r="G117" s="48" t="s">
        <v>740</v>
      </c>
      <c r="H117" s="38" t="s">
        <v>864</v>
      </c>
      <c r="I117" s="38">
        <v>12.1</v>
      </c>
    </row>
    <row r="118" spans="1:259" ht="64.349999999999994" customHeight="1" x14ac:dyDescent="0.2">
      <c r="A118" s="15" t="s">
        <v>254</v>
      </c>
      <c r="B118" s="31" t="s">
        <v>2095</v>
      </c>
      <c r="C118" s="38" t="s">
        <v>587</v>
      </c>
      <c r="D118" s="43"/>
      <c r="E118" s="39"/>
      <c r="F118" s="39"/>
      <c r="G118" s="48" t="s">
        <v>741</v>
      </c>
      <c r="H118" s="38" t="s">
        <v>864</v>
      </c>
      <c r="I118" s="49"/>
    </row>
    <row r="119" spans="1:259" ht="64.349999999999994" customHeight="1" x14ac:dyDescent="0.2">
      <c r="A119" s="15" t="s">
        <v>255</v>
      </c>
      <c r="B119" s="31" t="s">
        <v>2096</v>
      </c>
      <c r="C119" s="38" t="s">
        <v>591</v>
      </c>
      <c r="D119" s="43"/>
      <c r="E119" s="39"/>
      <c r="F119" s="39"/>
      <c r="G119" s="49"/>
      <c r="H119" s="38" t="s">
        <v>864</v>
      </c>
      <c r="I119" s="49"/>
    </row>
    <row r="120" spans="1:259" ht="64.349999999999994" customHeight="1" x14ac:dyDescent="0.2">
      <c r="A120" s="15" t="s">
        <v>256</v>
      </c>
      <c r="B120" s="31" t="s">
        <v>2693</v>
      </c>
      <c r="C120" s="39"/>
      <c r="D120" s="43"/>
      <c r="E120" s="39"/>
      <c r="F120" s="39"/>
      <c r="G120" s="49"/>
      <c r="H120" s="38" t="s">
        <v>864</v>
      </c>
      <c r="I120" s="49"/>
    </row>
    <row r="121" spans="1:259" ht="64.349999999999994" customHeight="1" x14ac:dyDescent="0.2">
      <c r="A121" s="15" t="s">
        <v>257</v>
      </c>
      <c r="B121" s="31" t="s">
        <v>2098</v>
      </c>
      <c r="C121" s="38" t="s">
        <v>591</v>
      </c>
      <c r="D121" s="43"/>
      <c r="E121" s="38" t="s">
        <v>664</v>
      </c>
      <c r="F121" s="39"/>
      <c r="G121" s="49"/>
      <c r="H121" s="38" t="s">
        <v>864</v>
      </c>
      <c r="I121" s="38" t="s">
        <v>2143</v>
      </c>
    </row>
    <row r="122" spans="1:259" ht="64.349999999999994" customHeight="1" x14ac:dyDescent="0.2">
      <c r="A122" s="15" t="s">
        <v>258</v>
      </c>
      <c r="B122" s="31" t="s">
        <v>2099</v>
      </c>
      <c r="C122" s="38" t="s">
        <v>585</v>
      </c>
      <c r="D122" s="38" t="s">
        <v>617</v>
      </c>
      <c r="E122" s="38" t="s">
        <v>664</v>
      </c>
      <c r="F122" s="39"/>
      <c r="G122" s="49"/>
      <c r="H122" s="38" t="s">
        <v>864</v>
      </c>
      <c r="I122" s="38" t="s">
        <v>2144</v>
      </c>
    </row>
    <row r="123" spans="1:259" ht="48" customHeight="1" x14ac:dyDescent="0.2">
      <c r="A123" s="15" t="s">
        <v>259</v>
      </c>
      <c r="B123" s="31" t="s">
        <v>103</v>
      </c>
      <c r="C123" s="38" t="s">
        <v>587</v>
      </c>
      <c r="D123" s="44"/>
      <c r="E123" s="39"/>
      <c r="F123" s="39"/>
      <c r="G123" s="49"/>
      <c r="H123" s="38" t="s">
        <v>864</v>
      </c>
      <c r="I123" s="38" t="s">
        <v>2145</v>
      </c>
    </row>
    <row r="124" spans="1:259" ht="48" customHeight="1" x14ac:dyDescent="0.2">
      <c r="A124" s="15" t="s">
        <v>260</v>
      </c>
      <c r="B124" s="31" t="s">
        <v>104</v>
      </c>
      <c r="C124" s="38" t="s">
        <v>587</v>
      </c>
      <c r="D124" s="44"/>
      <c r="E124" s="38" t="s">
        <v>663</v>
      </c>
      <c r="F124" s="38" t="s">
        <v>797</v>
      </c>
      <c r="G124" s="49"/>
      <c r="H124" s="38" t="s">
        <v>864</v>
      </c>
      <c r="I124" s="38" t="s">
        <v>2146</v>
      </c>
    </row>
    <row r="125" spans="1:259" ht="36" customHeight="1" x14ac:dyDescent="0.2">
      <c r="A125" s="263" t="str">
        <f>IF($C$28="","Data",IF($C$28="Yes","Data - Optional based on QUALIFIER response.","Data"))</f>
        <v>Data</v>
      </c>
      <c r="B125" s="263"/>
      <c r="C125" s="37" t="str">
        <f>$C$20</f>
        <v>CIS Critical Security Controls v6.1</v>
      </c>
      <c r="D125" s="37" t="str">
        <f>$D$20</f>
        <v>HIPAA</v>
      </c>
      <c r="E125" s="37" t="str">
        <f>$E$20</f>
        <v>ISO 27002:2013</v>
      </c>
      <c r="F125" s="37" t="str">
        <f>$F$20</f>
        <v>NIST Cybersecurity Framework</v>
      </c>
      <c r="G125" s="26" t="str">
        <f>$G$20</f>
        <v>NIST SP 800-171r1</v>
      </c>
      <c r="H125" s="37" t="str">
        <f>$H$20</f>
        <v>NIST SP 800-53r4</v>
      </c>
      <c r="I125" s="175" t="s">
        <v>2063</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row>
    <row r="126" spans="1:259" ht="48" customHeight="1" x14ac:dyDescent="0.2">
      <c r="A126" s="15" t="s">
        <v>261</v>
      </c>
      <c r="B126" s="31" t="s">
        <v>2694</v>
      </c>
      <c r="C126" s="38" t="s">
        <v>590</v>
      </c>
      <c r="D126" s="39"/>
      <c r="E126" s="39"/>
      <c r="F126" s="38" t="s">
        <v>800</v>
      </c>
      <c r="G126" s="48" t="s">
        <v>742</v>
      </c>
      <c r="H126" s="38" t="s">
        <v>865</v>
      </c>
      <c r="I126" s="38">
        <v>12.8</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row>
    <row r="127" spans="1:259" ht="48" customHeight="1" x14ac:dyDescent="0.2">
      <c r="A127" s="15" t="s">
        <v>262</v>
      </c>
      <c r="B127" s="31" t="s">
        <v>2695</v>
      </c>
      <c r="C127" s="38" t="s">
        <v>590</v>
      </c>
      <c r="D127" s="39"/>
      <c r="E127" s="39"/>
      <c r="F127" s="38" t="s">
        <v>800</v>
      </c>
      <c r="G127" s="48" t="s">
        <v>743</v>
      </c>
      <c r="H127" s="38" t="s">
        <v>866</v>
      </c>
      <c r="I127" s="38" t="s">
        <v>2147</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row>
    <row r="128" spans="1:259" ht="48" customHeight="1" x14ac:dyDescent="0.2">
      <c r="A128" s="15" t="s">
        <v>263</v>
      </c>
      <c r="B128" s="31" t="s">
        <v>2593</v>
      </c>
      <c r="C128" s="38" t="s">
        <v>585</v>
      </c>
      <c r="D128" s="39"/>
      <c r="E128" s="38" t="s">
        <v>666</v>
      </c>
      <c r="F128" s="38" t="s">
        <v>801</v>
      </c>
      <c r="G128" s="49"/>
      <c r="H128" s="39"/>
      <c r="I128" s="38" t="s">
        <v>2148</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row>
    <row r="129" spans="1:259" ht="48" customHeight="1" x14ac:dyDescent="0.2">
      <c r="A129" s="15" t="s">
        <v>264</v>
      </c>
      <c r="B129" s="31" t="s">
        <v>483</v>
      </c>
      <c r="C129" s="38" t="s">
        <v>585</v>
      </c>
      <c r="D129" s="39"/>
      <c r="E129" s="38" t="s">
        <v>667</v>
      </c>
      <c r="F129" s="38" t="s">
        <v>802</v>
      </c>
      <c r="G129" s="48" t="s">
        <v>744</v>
      </c>
      <c r="H129" s="38" t="s">
        <v>867</v>
      </c>
      <c r="I129" s="38">
        <v>12.8</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row>
    <row r="130" spans="1:259" ht="48" customHeight="1" x14ac:dyDescent="0.2">
      <c r="A130" s="15" t="s">
        <v>265</v>
      </c>
      <c r="B130" s="31" t="s">
        <v>460</v>
      </c>
      <c r="C130" s="38" t="s">
        <v>585</v>
      </c>
      <c r="D130" s="39"/>
      <c r="E130" s="38" t="s">
        <v>667</v>
      </c>
      <c r="F130" s="39"/>
      <c r="G130" s="48" t="s">
        <v>753</v>
      </c>
      <c r="H130" s="39"/>
      <c r="I130" s="38">
        <v>12.1</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row>
    <row r="131" spans="1:259" ht="65.099999999999994" customHeight="1" x14ac:dyDescent="0.2">
      <c r="A131" s="15" t="s">
        <v>266</v>
      </c>
      <c r="B131" s="31" t="s">
        <v>2594</v>
      </c>
      <c r="C131" s="38" t="s">
        <v>585</v>
      </c>
      <c r="D131" s="39"/>
      <c r="E131" s="38" t="s">
        <v>673</v>
      </c>
      <c r="F131" s="38" t="s">
        <v>801</v>
      </c>
      <c r="G131" s="49"/>
      <c r="H131" s="38" t="s">
        <v>868</v>
      </c>
      <c r="I131" s="38" t="s">
        <v>2148</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row>
    <row r="132" spans="1:259" ht="60" customHeight="1" x14ac:dyDescent="0.2">
      <c r="A132" s="15" t="s">
        <v>267</v>
      </c>
      <c r="B132" s="31" t="s">
        <v>533</v>
      </c>
      <c r="C132" s="38" t="s">
        <v>597</v>
      </c>
      <c r="D132" s="39"/>
      <c r="E132" s="39"/>
      <c r="F132" s="39"/>
      <c r="G132" s="48" t="s">
        <v>745</v>
      </c>
      <c r="H132" s="38" t="s">
        <v>846</v>
      </c>
      <c r="I132" s="38" t="s">
        <v>2147</v>
      </c>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row>
    <row r="133" spans="1:259" ht="36" customHeight="1" x14ac:dyDescent="0.2">
      <c r="A133" s="15" t="s">
        <v>268</v>
      </c>
      <c r="B133" s="31" t="s">
        <v>534</v>
      </c>
      <c r="C133" s="38" t="s">
        <v>585</v>
      </c>
      <c r="D133" s="39"/>
      <c r="E133" s="38" t="s">
        <v>668</v>
      </c>
      <c r="F133" s="39"/>
      <c r="G133" s="48" t="s">
        <v>745</v>
      </c>
      <c r="H133" s="38" t="s">
        <v>846</v>
      </c>
      <c r="I133" s="38">
        <v>12.8</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row>
    <row r="134" spans="1:259" ht="48" customHeight="1" x14ac:dyDescent="0.2">
      <c r="A134" s="15" t="s">
        <v>269</v>
      </c>
      <c r="B134" s="31" t="s">
        <v>2595</v>
      </c>
      <c r="C134" s="38" t="s">
        <v>585</v>
      </c>
      <c r="D134" s="39"/>
      <c r="E134" s="38" t="s">
        <v>668</v>
      </c>
      <c r="F134" s="39"/>
      <c r="G134" s="49"/>
      <c r="H134" s="39"/>
      <c r="I134" s="38">
        <v>12.8</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row>
    <row r="135" spans="1:259" ht="36" customHeight="1" x14ac:dyDescent="0.2">
      <c r="A135" s="15" t="s">
        <v>270</v>
      </c>
      <c r="B135" s="31" t="s">
        <v>535</v>
      </c>
      <c r="C135" s="39"/>
      <c r="D135" s="39"/>
      <c r="E135" s="38" t="s">
        <v>669</v>
      </c>
      <c r="F135" s="39"/>
      <c r="G135" s="49"/>
      <c r="H135" s="39"/>
      <c r="I135" s="38">
        <v>12.8</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row>
    <row r="136" spans="1:259" ht="48" customHeight="1" x14ac:dyDescent="0.2">
      <c r="A136" s="15" t="s">
        <v>271</v>
      </c>
      <c r="B136" s="31" t="s">
        <v>2596</v>
      </c>
      <c r="C136" s="38" t="s">
        <v>585</v>
      </c>
      <c r="D136" s="39"/>
      <c r="E136" s="38" t="s">
        <v>670</v>
      </c>
      <c r="F136" s="39"/>
      <c r="G136" s="48" t="s">
        <v>745</v>
      </c>
      <c r="H136" s="39"/>
      <c r="I136" s="38">
        <v>12.8</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36" customHeight="1" x14ac:dyDescent="0.2">
      <c r="A137" s="15" t="s">
        <v>272</v>
      </c>
      <c r="B137" s="31" t="s">
        <v>100</v>
      </c>
      <c r="C137" s="38" t="s">
        <v>585</v>
      </c>
      <c r="D137" s="39"/>
      <c r="E137" s="38" t="s">
        <v>670</v>
      </c>
      <c r="F137" s="39"/>
      <c r="G137" s="48" t="s">
        <v>717</v>
      </c>
      <c r="H137" s="39"/>
      <c r="I137" s="38">
        <v>12.8</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54" customHeight="1" x14ac:dyDescent="0.2">
      <c r="A138" s="15" t="s">
        <v>273</v>
      </c>
      <c r="B138" s="31" t="s">
        <v>101</v>
      </c>
      <c r="C138" s="38" t="s">
        <v>598</v>
      </c>
      <c r="D138" s="39"/>
      <c r="E138" s="38" t="s">
        <v>670</v>
      </c>
      <c r="F138" s="39"/>
      <c r="G138" s="48" t="s">
        <v>745</v>
      </c>
      <c r="H138" s="39"/>
      <c r="I138" s="38">
        <v>12.8</v>
      </c>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5" t="s">
        <v>274</v>
      </c>
      <c r="B139" s="31" t="s">
        <v>454</v>
      </c>
      <c r="C139" s="38" t="s">
        <v>587</v>
      </c>
      <c r="D139" s="39"/>
      <c r="E139" s="38" t="s">
        <v>669</v>
      </c>
      <c r="F139" s="38" t="s">
        <v>803</v>
      </c>
      <c r="G139" s="48" t="s">
        <v>746</v>
      </c>
      <c r="H139" s="38" t="s">
        <v>869</v>
      </c>
      <c r="I139" s="38" t="s">
        <v>2149</v>
      </c>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5" t="s">
        <v>275</v>
      </c>
      <c r="B140" s="31" t="s">
        <v>106</v>
      </c>
      <c r="C140" s="38" t="s">
        <v>587</v>
      </c>
      <c r="D140" s="39"/>
      <c r="E140" s="38" t="s">
        <v>669</v>
      </c>
      <c r="F140" s="38" t="s">
        <v>803</v>
      </c>
      <c r="G140" s="48" t="s">
        <v>746</v>
      </c>
      <c r="H140" s="38" t="s">
        <v>869</v>
      </c>
      <c r="I140" s="38">
        <v>12.8</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36" customHeight="1" x14ac:dyDescent="0.2">
      <c r="A141" s="15" t="s">
        <v>276</v>
      </c>
      <c r="B141" s="31" t="s">
        <v>24</v>
      </c>
      <c r="C141" s="38" t="s">
        <v>587</v>
      </c>
      <c r="D141" s="39"/>
      <c r="E141" s="38" t="s">
        <v>669</v>
      </c>
      <c r="F141" s="38" t="s">
        <v>803</v>
      </c>
      <c r="G141" s="48" t="s">
        <v>746</v>
      </c>
      <c r="H141" s="38" t="s">
        <v>869</v>
      </c>
      <c r="I141" s="39"/>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36" customHeight="1" x14ac:dyDescent="0.2">
      <c r="A142" s="15" t="s">
        <v>277</v>
      </c>
      <c r="B142" s="31" t="s">
        <v>559</v>
      </c>
      <c r="C142" s="38" t="s">
        <v>587</v>
      </c>
      <c r="D142" s="39"/>
      <c r="E142" s="38" t="s">
        <v>669</v>
      </c>
      <c r="F142" s="38" t="s">
        <v>804</v>
      </c>
      <c r="G142" s="48" t="s">
        <v>746</v>
      </c>
      <c r="H142" s="38" t="s">
        <v>869</v>
      </c>
      <c r="I142" s="39"/>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72" customHeight="1" x14ac:dyDescent="0.2">
      <c r="A143" s="15" t="s">
        <v>278</v>
      </c>
      <c r="B143" s="31" t="s">
        <v>455</v>
      </c>
      <c r="C143" s="38" t="s">
        <v>587</v>
      </c>
      <c r="D143" s="39"/>
      <c r="E143" s="38" t="s">
        <v>671</v>
      </c>
      <c r="F143" s="39"/>
      <c r="G143" s="48" t="s">
        <v>747</v>
      </c>
      <c r="H143" s="38" t="s">
        <v>874</v>
      </c>
      <c r="I143" s="39"/>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48" customHeight="1" x14ac:dyDescent="0.2">
      <c r="A144" s="15" t="s">
        <v>279</v>
      </c>
      <c r="B144" s="31" t="s">
        <v>560</v>
      </c>
      <c r="C144" s="38" t="s">
        <v>587</v>
      </c>
      <c r="D144" s="39"/>
      <c r="E144" s="38" t="s">
        <v>669</v>
      </c>
      <c r="F144" s="38" t="s">
        <v>805</v>
      </c>
      <c r="G144" s="48" t="s">
        <v>746</v>
      </c>
      <c r="H144" s="38" t="s">
        <v>869</v>
      </c>
      <c r="I144" s="39"/>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5" t="s">
        <v>280</v>
      </c>
      <c r="B145" s="31" t="s">
        <v>2597</v>
      </c>
      <c r="C145" s="38" t="s">
        <v>587</v>
      </c>
      <c r="D145" s="39"/>
      <c r="E145" s="38" t="s">
        <v>669</v>
      </c>
      <c r="F145" s="38" t="s">
        <v>803</v>
      </c>
      <c r="G145" s="48" t="s">
        <v>748</v>
      </c>
      <c r="H145" s="38" t="s">
        <v>869</v>
      </c>
      <c r="I145" s="38" t="s">
        <v>2149</v>
      </c>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5" t="s">
        <v>281</v>
      </c>
      <c r="B146" s="31" t="s">
        <v>561</v>
      </c>
      <c r="C146" s="38" t="s">
        <v>587</v>
      </c>
      <c r="D146" s="39"/>
      <c r="E146" s="38" t="s">
        <v>669</v>
      </c>
      <c r="F146" s="38" t="s">
        <v>803</v>
      </c>
      <c r="G146" s="48" t="s">
        <v>749</v>
      </c>
      <c r="H146" s="38" t="s">
        <v>875</v>
      </c>
      <c r="I146" s="38" t="s">
        <v>2149</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5" t="s">
        <v>282</v>
      </c>
      <c r="B147" s="31" t="s">
        <v>2696</v>
      </c>
      <c r="C147" s="38" t="s">
        <v>585</v>
      </c>
      <c r="D147" s="39"/>
      <c r="E147" s="38" t="s">
        <v>669</v>
      </c>
      <c r="F147" s="39"/>
      <c r="G147" s="48" t="s">
        <v>746</v>
      </c>
      <c r="H147" s="38" t="s">
        <v>875</v>
      </c>
      <c r="I147" s="38">
        <v>12.8</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73.349999999999994" customHeight="1" x14ac:dyDescent="0.2">
      <c r="A148" s="15" t="s">
        <v>283</v>
      </c>
      <c r="B148" s="31" t="s">
        <v>905</v>
      </c>
      <c r="C148" s="38" t="s">
        <v>585</v>
      </c>
      <c r="D148" s="39"/>
      <c r="E148" s="38" t="s">
        <v>672</v>
      </c>
      <c r="F148" s="38" t="s">
        <v>806</v>
      </c>
      <c r="G148" s="48" t="s">
        <v>750</v>
      </c>
      <c r="H148" s="38" t="s">
        <v>870</v>
      </c>
      <c r="I148" s="38" t="s">
        <v>2149</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5" t="s">
        <v>284</v>
      </c>
      <c r="B149" s="31" t="s">
        <v>2686</v>
      </c>
      <c r="C149" s="38" t="s">
        <v>585</v>
      </c>
      <c r="D149" s="39"/>
      <c r="E149" s="38" t="s">
        <v>674</v>
      </c>
      <c r="F149" s="38" t="s">
        <v>806</v>
      </c>
      <c r="G149" s="48" t="s">
        <v>751</v>
      </c>
      <c r="H149" s="38" t="s">
        <v>871</v>
      </c>
      <c r="I149" s="3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5" t="s">
        <v>285</v>
      </c>
      <c r="B150" s="31" t="s">
        <v>108</v>
      </c>
      <c r="C150" s="38" t="s">
        <v>585</v>
      </c>
      <c r="D150" s="39"/>
      <c r="E150" s="38" t="s">
        <v>674</v>
      </c>
      <c r="F150" s="38" t="s">
        <v>807</v>
      </c>
      <c r="G150" s="48" t="s">
        <v>751</v>
      </c>
      <c r="H150" s="38" t="s">
        <v>872</v>
      </c>
      <c r="I150" s="39"/>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5" t="s">
        <v>286</v>
      </c>
      <c r="B151" s="31" t="s">
        <v>107</v>
      </c>
      <c r="C151" s="38" t="s">
        <v>585</v>
      </c>
      <c r="D151" s="39"/>
      <c r="E151" s="38" t="s">
        <v>674</v>
      </c>
      <c r="F151" s="38" t="s">
        <v>806</v>
      </c>
      <c r="G151" s="48" t="s">
        <v>752</v>
      </c>
      <c r="H151" s="38" t="s">
        <v>873</v>
      </c>
      <c r="I151" s="38" t="s">
        <v>2147</v>
      </c>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5" t="s">
        <v>287</v>
      </c>
      <c r="B152" s="31" t="s">
        <v>25</v>
      </c>
      <c r="C152" s="38" t="s">
        <v>585</v>
      </c>
      <c r="D152" s="39"/>
      <c r="E152" s="38" t="s">
        <v>633</v>
      </c>
      <c r="F152" s="38" t="s">
        <v>714</v>
      </c>
      <c r="G152" s="49"/>
      <c r="H152" s="39"/>
      <c r="I152" s="39"/>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5" t="s">
        <v>288</v>
      </c>
      <c r="B153" s="31" t="s">
        <v>536</v>
      </c>
      <c r="C153" s="38" t="s">
        <v>599</v>
      </c>
      <c r="D153" s="39"/>
      <c r="E153" s="38" t="s">
        <v>648</v>
      </c>
      <c r="F153" s="38" t="s">
        <v>787</v>
      </c>
      <c r="G153" s="49"/>
      <c r="H153" s="39"/>
      <c r="I153" s="39"/>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263" t="str">
        <f>IF($C$28="","Database",IF($C$28="Yes","Database - Optional based on QUALIFIER response.","Database"))</f>
        <v>Database</v>
      </c>
      <c r="B154" s="263"/>
      <c r="C154" s="37" t="str">
        <f>$C$20</f>
        <v>CIS Critical Security Controls v6.1</v>
      </c>
      <c r="D154" s="37" t="str">
        <f>$D$20</f>
        <v>HIPAA</v>
      </c>
      <c r="E154" s="37" t="str">
        <f>$E$20</f>
        <v>ISO 27002:2013</v>
      </c>
      <c r="F154" s="37" t="str">
        <f>$F$20</f>
        <v>NIST Cybersecurity Framework</v>
      </c>
      <c r="G154" s="26" t="str">
        <f>$G$20</f>
        <v>NIST SP 800-171r1</v>
      </c>
      <c r="H154" s="37" t="str">
        <f>$H$20</f>
        <v>NIST SP 800-53r4</v>
      </c>
      <c r="I154" s="175" t="s">
        <v>2063</v>
      </c>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36" customHeight="1" x14ac:dyDescent="0.2">
      <c r="A155" s="15" t="s">
        <v>289</v>
      </c>
      <c r="B155" s="31" t="s">
        <v>26</v>
      </c>
      <c r="C155" s="38" t="s">
        <v>585</v>
      </c>
      <c r="D155" s="43"/>
      <c r="E155" s="38" t="s">
        <v>666</v>
      </c>
      <c r="F155" s="38" t="s">
        <v>802</v>
      </c>
      <c r="G155" s="49"/>
      <c r="H155" s="43"/>
      <c r="I155" s="43"/>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7.35" customHeight="1" x14ac:dyDescent="0.2">
      <c r="A156" s="15" t="s">
        <v>290</v>
      </c>
      <c r="B156" s="31" t="s">
        <v>574</v>
      </c>
      <c r="C156" s="38" t="s">
        <v>585</v>
      </c>
      <c r="D156" s="43"/>
      <c r="E156" s="38" t="s">
        <v>666</v>
      </c>
      <c r="F156" s="38" t="s">
        <v>808</v>
      </c>
      <c r="G156" s="49"/>
      <c r="H156" s="43"/>
      <c r="I156" s="43"/>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263" t="str">
        <f>IF($C$28="","Datacenter",IF($C$28="Yes","Datacenter - Optional based on QUALIFIER response.","Datacenter"))</f>
        <v>Datacenter</v>
      </c>
      <c r="B157" s="263"/>
      <c r="C157" s="37" t="str">
        <f>$C$20</f>
        <v>CIS Critical Security Controls v6.1</v>
      </c>
      <c r="D157" s="37" t="str">
        <f>$D$20</f>
        <v>HIPAA</v>
      </c>
      <c r="E157" s="37" t="str">
        <f>$E$20</f>
        <v>ISO 27002:2013</v>
      </c>
      <c r="F157" s="37" t="str">
        <f>$F$20</f>
        <v>NIST Cybersecurity Framework</v>
      </c>
      <c r="G157" s="26" t="str">
        <f>$G$20</f>
        <v>NIST SP 800-171r1</v>
      </c>
      <c r="H157" s="37" t="str">
        <f>$H$20</f>
        <v>NIST SP 800-53r4</v>
      </c>
      <c r="I157" s="175" t="s">
        <v>2063</v>
      </c>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9.35" customHeight="1" x14ac:dyDescent="0.2">
      <c r="A158" s="15" t="s">
        <v>291</v>
      </c>
      <c r="B158" s="31" t="s">
        <v>2697</v>
      </c>
      <c r="C158" s="38" t="s">
        <v>588</v>
      </c>
      <c r="D158" s="43"/>
      <c r="E158" s="38" t="s">
        <v>675</v>
      </c>
      <c r="F158" s="38" t="s">
        <v>800</v>
      </c>
      <c r="G158" s="49"/>
      <c r="H158" s="43"/>
      <c r="I158" s="38" t="s">
        <v>2147</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5" t="s">
        <v>292</v>
      </c>
      <c r="B159" s="31" t="s">
        <v>516</v>
      </c>
      <c r="C159" s="38" t="s">
        <v>585</v>
      </c>
      <c r="D159" s="43"/>
      <c r="E159" s="38" t="s">
        <v>675</v>
      </c>
      <c r="F159" s="39"/>
      <c r="G159" s="49"/>
      <c r="H159" s="43"/>
      <c r="I159" s="43"/>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5" t="s">
        <v>293</v>
      </c>
      <c r="B160" s="31" t="s">
        <v>563</v>
      </c>
      <c r="C160" s="38" t="s">
        <v>600</v>
      </c>
      <c r="D160" s="43"/>
      <c r="E160" s="38" t="s">
        <v>659</v>
      </c>
      <c r="F160" s="39"/>
      <c r="G160" s="49"/>
      <c r="H160" s="43"/>
      <c r="I160" s="43"/>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47.1" customHeight="1" x14ac:dyDescent="0.2">
      <c r="A161" s="15" t="s">
        <v>294</v>
      </c>
      <c r="B161" s="31" t="s">
        <v>27</v>
      </c>
      <c r="C161" s="38" t="s">
        <v>602</v>
      </c>
      <c r="D161" s="43"/>
      <c r="E161" s="39"/>
      <c r="F161" s="39"/>
      <c r="G161" s="49"/>
      <c r="H161" s="38" t="s">
        <v>845</v>
      </c>
      <c r="I161" s="38">
        <v>12.8</v>
      </c>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7.1" customHeight="1" x14ac:dyDescent="0.2">
      <c r="A162" s="15" t="s">
        <v>295</v>
      </c>
      <c r="B162" s="31" t="s">
        <v>28</v>
      </c>
      <c r="C162" s="38" t="s">
        <v>602</v>
      </c>
      <c r="D162" s="43"/>
      <c r="E162" s="38" t="s">
        <v>676</v>
      </c>
      <c r="F162" s="38" t="s">
        <v>809</v>
      </c>
      <c r="G162" s="49"/>
      <c r="H162" s="43"/>
      <c r="I162" s="38" t="s">
        <v>2149</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5" t="s">
        <v>296</v>
      </c>
      <c r="B163" s="31" t="s">
        <v>2677</v>
      </c>
      <c r="C163" s="38" t="s">
        <v>588</v>
      </c>
      <c r="D163" s="43"/>
      <c r="E163" s="38" t="s">
        <v>679</v>
      </c>
      <c r="F163" s="38" t="s">
        <v>809</v>
      </c>
      <c r="G163" s="48" t="s">
        <v>752</v>
      </c>
      <c r="H163" s="43"/>
      <c r="I163" s="38" t="s">
        <v>2149</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7.1" customHeight="1" x14ac:dyDescent="0.2">
      <c r="A164" s="15" t="s">
        <v>297</v>
      </c>
      <c r="B164" s="31" t="s">
        <v>30</v>
      </c>
      <c r="C164" s="38" t="s">
        <v>601</v>
      </c>
      <c r="D164" s="43"/>
      <c r="E164" s="39"/>
      <c r="F164" s="38" t="s">
        <v>810</v>
      </c>
      <c r="G164" s="48" t="s">
        <v>754</v>
      </c>
      <c r="H164" s="43"/>
      <c r="I164" s="43"/>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5" t="s">
        <v>298</v>
      </c>
      <c r="B165" s="31" t="s">
        <v>2698</v>
      </c>
      <c r="C165" s="38" t="s">
        <v>590</v>
      </c>
      <c r="D165" s="43"/>
      <c r="E165" s="38" t="s">
        <v>633</v>
      </c>
      <c r="F165" s="39"/>
      <c r="G165" s="49"/>
      <c r="H165" s="43"/>
      <c r="I165" s="38">
        <v>12.8</v>
      </c>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36" customHeight="1" x14ac:dyDescent="0.2">
      <c r="A166" s="15" t="s">
        <v>299</v>
      </c>
      <c r="B166" s="31" t="s">
        <v>2699</v>
      </c>
      <c r="C166" s="38" t="s">
        <v>590</v>
      </c>
      <c r="D166" s="43"/>
      <c r="E166" s="38" t="s">
        <v>633</v>
      </c>
      <c r="F166" s="39"/>
      <c r="G166" s="49"/>
      <c r="H166" s="43"/>
      <c r="I166" s="38">
        <v>12.9</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64.349999999999994" customHeight="1" x14ac:dyDescent="0.2">
      <c r="A167" s="15" t="s">
        <v>300</v>
      </c>
      <c r="B167" s="31" t="s">
        <v>2700</v>
      </c>
      <c r="C167" s="38" t="s">
        <v>590</v>
      </c>
      <c r="D167" s="43"/>
      <c r="E167" s="38" t="s">
        <v>677</v>
      </c>
      <c r="F167" s="39"/>
      <c r="G167" s="50"/>
      <c r="H167" s="43"/>
      <c r="I167" s="38">
        <v>12.8</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53.1" customHeight="1" x14ac:dyDescent="0.2">
      <c r="A168" s="15" t="s">
        <v>301</v>
      </c>
      <c r="B168" s="31" t="s">
        <v>29</v>
      </c>
      <c r="C168" s="38" t="s">
        <v>587</v>
      </c>
      <c r="D168" s="43"/>
      <c r="E168" s="38" t="s">
        <v>678</v>
      </c>
      <c r="F168" s="39"/>
      <c r="G168" s="49"/>
      <c r="H168" s="43"/>
      <c r="I168" s="38">
        <v>12.8</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5" t="s">
        <v>302</v>
      </c>
      <c r="B169" s="31" t="s">
        <v>2701</v>
      </c>
      <c r="C169" s="38" t="s">
        <v>590</v>
      </c>
      <c r="D169" s="43"/>
      <c r="E169" s="38" t="s">
        <v>633</v>
      </c>
      <c r="F169" s="39"/>
      <c r="G169" s="49"/>
      <c r="H169" s="43"/>
      <c r="I169" s="38">
        <v>12.8</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5" t="s">
        <v>303</v>
      </c>
      <c r="B170" s="31" t="s">
        <v>105</v>
      </c>
      <c r="C170" s="39"/>
      <c r="D170" s="43"/>
      <c r="E170" s="38" t="s">
        <v>657</v>
      </c>
      <c r="F170" s="39"/>
      <c r="G170" s="49"/>
      <c r="H170" s="43"/>
      <c r="I170" s="43"/>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s="1" customFormat="1" ht="48" customHeight="1" x14ac:dyDescent="0.2">
      <c r="A171" s="15" t="s">
        <v>304</v>
      </c>
      <c r="B171" s="31" t="s">
        <v>476</v>
      </c>
      <c r="C171" s="38" t="s">
        <v>587</v>
      </c>
      <c r="D171" s="43"/>
      <c r="E171" s="38" t="s">
        <v>657</v>
      </c>
      <c r="F171" s="38" t="s">
        <v>811</v>
      </c>
      <c r="G171" s="49"/>
      <c r="H171" s="43"/>
      <c r="I171" s="43"/>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row>
    <row r="172" spans="1:259" ht="64.349999999999994" customHeight="1" x14ac:dyDescent="0.2">
      <c r="A172" s="15" t="s">
        <v>305</v>
      </c>
      <c r="B172" s="31" t="s">
        <v>537</v>
      </c>
      <c r="C172" s="39"/>
      <c r="D172" s="43"/>
      <c r="E172" s="38" t="s">
        <v>659</v>
      </c>
      <c r="F172" s="38" t="s">
        <v>811</v>
      </c>
      <c r="G172" s="49"/>
      <c r="H172" s="43"/>
      <c r="I172" s="43"/>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5" t="s">
        <v>306</v>
      </c>
      <c r="B173" s="31" t="s">
        <v>2602</v>
      </c>
      <c r="C173" s="39"/>
      <c r="D173" s="43"/>
      <c r="E173" s="38" t="s">
        <v>658</v>
      </c>
      <c r="F173" s="38" t="s">
        <v>811</v>
      </c>
      <c r="G173" s="50"/>
      <c r="H173" s="43"/>
      <c r="I173" s="4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48" customHeight="1" x14ac:dyDescent="0.2">
      <c r="A174" s="15" t="s">
        <v>307</v>
      </c>
      <c r="B174" s="31" t="s">
        <v>538</v>
      </c>
      <c r="C174" s="39"/>
      <c r="D174" s="43"/>
      <c r="E174" s="38" t="s">
        <v>659</v>
      </c>
      <c r="F174" s="39"/>
      <c r="G174" s="50"/>
      <c r="H174" s="38" t="s">
        <v>876</v>
      </c>
      <c r="I174" s="43"/>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48" customHeight="1" x14ac:dyDescent="0.2">
      <c r="A175" s="15" t="s">
        <v>308</v>
      </c>
      <c r="B175" s="31" t="s">
        <v>564</v>
      </c>
      <c r="C175" s="38" t="s">
        <v>587</v>
      </c>
      <c r="D175" s="43"/>
      <c r="E175" s="38" t="s">
        <v>659</v>
      </c>
      <c r="F175" s="38" t="s">
        <v>811</v>
      </c>
      <c r="G175" s="50"/>
      <c r="H175" s="38" t="s">
        <v>876</v>
      </c>
      <c r="I175" s="38">
        <v>12.8</v>
      </c>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ht="48" customHeight="1" x14ac:dyDescent="0.2">
      <c r="A176" s="15" t="s">
        <v>309</v>
      </c>
      <c r="B176" s="31" t="s">
        <v>2702</v>
      </c>
      <c r="C176" s="38" t="s">
        <v>585</v>
      </c>
      <c r="D176" s="43"/>
      <c r="E176" s="38" t="s">
        <v>659</v>
      </c>
      <c r="F176" s="38" t="s">
        <v>811</v>
      </c>
      <c r="G176" s="49"/>
      <c r="H176" s="38" t="s">
        <v>876</v>
      </c>
      <c r="I176" s="38">
        <v>12.8</v>
      </c>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263" t="str">
        <f>IF(OR($C$26="No",$C$28="Yes"),"DRP - Optional based on QUALIFIER response.","Disaster Recovery Plan")</f>
        <v>Disaster Recovery Plan</v>
      </c>
      <c r="B177" s="263"/>
      <c r="C177" s="37" t="str">
        <f>$C$20</f>
        <v>CIS Critical Security Controls v6.1</v>
      </c>
      <c r="D177" s="37" t="str">
        <f>$D$20</f>
        <v>HIPAA</v>
      </c>
      <c r="E177" s="37" t="str">
        <f>$E$20</f>
        <v>ISO 27002:2013</v>
      </c>
      <c r="F177" s="37" t="str">
        <f>$F$20</f>
        <v>NIST Cybersecurity Framework</v>
      </c>
      <c r="G177" s="26" t="str">
        <f>$G$20</f>
        <v>NIST SP 800-171r1</v>
      </c>
      <c r="H177" s="37" t="str">
        <f>$H$20</f>
        <v>NIST SP 800-53r4</v>
      </c>
      <c r="I177" s="175" t="s">
        <v>2063</v>
      </c>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5" t="s">
        <v>310</v>
      </c>
      <c r="B178" s="31" t="s">
        <v>566</v>
      </c>
      <c r="C178" s="38" t="s">
        <v>587</v>
      </c>
      <c r="D178" s="43"/>
      <c r="E178" s="38" t="s">
        <v>657</v>
      </c>
      <c r="F178" s="38" t="s">
        <v>716</v>
      </c>
      <c r="G178" s="48" t="s">
        <v>736</v>
      </c>
      <c r="H178" s="40" t="s">
        <v>862</v>
      </c>
      <c r="I178" s="40">
        <v>12.8</v>
      </c>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7.1" customHeight="1" x14ac:dyDescent="0.2">
      <c r="A179" s="15" t="s">
        <v>311</v>
      </c>
      <c r="B179" s="31" t="s">
        <v>567</v>
      </c>
      <c r="C179" s="38" t="s">
        <v>587</v>
      </c>
      <c r="D179" s="43"/>
      <c r="E179" s="38" t="s">
        <v>681</v>
      </c>
      <c r="F179" s="38" t="s">
        <v>716</v>
      </c>
      <c r="G179" s="48" t="s">
        <v>736</v>
      </c>
      <c r="H179" s="40" t="s">
        <v>862</v>
      </c>
      <c r="I179" s="40">
        <v>12.8</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7.1" customHeight="1" x14ac:dyDescent="0.2">
      <c r="A180" s="15" t="s">
        <v>312</v>
      </c>
      <c r="B180" s="31" t="s">
        <v>2703</v>
      </c>
      <c r="C180" s="38" t="s">
        <v>587</v>
      </c>
      <c r="D180" s="43"/>
      <c r="E180" s="39"/>
      <c r="F180" s="38" t="s">
        <v>716</v>
      </c>
      <c r="G180" s="48" t="s">
        <v>736</v>
      </c>
      <c r="H180" s="40" t="s">
        <v>862</v>
      </c>
      <c r="I180" s="40">
        <v>12.8</v>
      </c>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1" customHeight="1" x14ac:dyDescent="0.2">
      <c r="A181" s="15" t="s">
        <v>313</v>
      </c>
      <c r="B181" s="31" t="s">
        <v>2704</v>
      </c>
      <c r="C181" s="38" t="s">
        <v>603</v>
      </c>
      <c r="D181" s="43"/>
      <c r="E181" s="38" t="s">
        <v>657</v>
      </c>
      <c r="F181" s="38" t="s">
        <v>716</v>
      </c>
      <c r="G181" s="49"/>
      <c r="H181" s="40" t="s">
        <v>862</v>
      </c>
      <c r="I181" s="40">
        <v>12.8</v>
      </c>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5" t="s">
        <v>314</v>
      </c>
      <c r="B182" s="31" t="s">
        <v>2606</v>
      </c>
      <c r="C182" s="38" t="s">
        <v>587</v>
      </c>
      <c r="D182" s="43"/>
      <c r="E182" s="38" t="s">
        <v>659</v>
      </c>
      <c r="F182" s="38" t="s">
        <v>716</v>
      </c>
      <c r="G182" s="49"/>
      <c r="H182" s="40" t="s">
        <v>862</v>
      </c>
      <c r="I182" s="49"/>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5" t="s">
        <v>315</v>
      </c>
      <c r="B183" s="31" t="s">
        <v>119</v>
      </c>
      <c r="C183" s="38" t="s">
        <v>587</v>
      </c>
      <c r="D183" s="43"/>
      <c r="E183" s="38" t="s">
        <v>658</v>
      </c>
      <c r="F183" s="38" t="s">
        <v>716</v>
      </c>
      <c r="G183" s="49"/>
      <c r="H183" s="40" t="s">
        <v>862</v>
      </c>
      <c r="I183" s="49"/>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5" t="s">
        <v>316</v>
      </c>
      <c r="B184" s="31" t="s">
        <v>122</v>
      </c>
      <c r="C184" s="38" t="s">
        <v>587</v>
      </c>
      <c r="D184" s="43"/>
      <c r="E184" s="39"/>
      <c r="F184" s="38" t="s">
        <v>716</v>
      </c>
      <c r="G184" s="48" t="s">
        <v>736</v>
      </c>
      <c r="H184" s="40" t="s">
        <v>862</v>
      </c>
      <c r="I184" s="40">
        <v>12.8</v>
      </c>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5" t="s">
        <v>317</v>
      </c>
      <c r="B185" s="31" t="s">
        <v>121</v>
      </c>
      <c r="C185" s="38" t="s">
        <v>587</v>
      </c>
      <c r="D185" s="43"/>
      <c r="E185" s="38" t="s">
        <v>634</v>
      </c>
      <c r="F185" s="38" t="s">
        <v>716</v>
      </c>
      <c r="G185" s="48" t="s">
        <v>736</v>
      </c>
      <c r="H185" s="40" t="s">
        <v>862</v>
      </c>
      <c r="I185" s="40">
        <v>12.8</v>
      </c>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64.349999999999994" customHeight="1" x14ac:dyDescent="0.2">
      <c r="A186" s="15" t="s">
        <v>318</v>
      </c>
      <c r="B186" s="31" t="s">
        <v>517</v>
      </c>
      <c r="C186" s="38" t="s">
        <v>587</v>
      </c>
      <c r="D186" s="43"/>
      <c r="E186" s="38" t="s">
        <v>658</v>
      </c>
      <c r="F186" s="38" t="s">
        <v>716</v>
      </c>
      <c r="G186" s="48" t="s">
        <v>736</v>
      </c>
      <c r="H186" s="40" t="s">
        <v>862</v>
      </c>
      <c r="I186" s="49"/>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64.349999999999994" customHeight="1" x14ac:dyDescent="0.2">
      <c r="A187" s="15" t="s">
        <v>319</v>
      </c>
      <c r="B187" s="31" t="s">
        <v>921</v>
      </c>
      <c r="C187" s="38" t="s">
        <v>587</v>
      </c>
      <c r="D187" s="43"/>
      <c r="E187" s="38" t="s">
        <v>658</v>
      </c>
      <c r="F187" s="38" t="s">
        <v>716</v>
      </c>
      <c r="G187" s="48" t="s">
        <v>736</v>
      </c>
      <c r="H187" s="40" t="s">
        <v>862</v>
      </c>
      <c r="I187" s="49"/>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8" customHeight="1" x14ac:dyDescent="0.2">
      <c r="A188" s="15" t="s">
        <v>320</v>
      </c>
      <c r="B188" s="31" t="s">
        <v>115</v>
      </c>
      <c r="C188" s="38" t="s">
        <v>587</v>
      </c>
      <c r="D188" s="43"/>
      <c r="E188" s="38" t="s">
        <v>680</v>
      </c>
      <c r="F188" s="38" t="s">
        <v>716</v>
      </c>
      <c r="G188" s="49"/>
      <c r="H188" s="40" t="s">
        <v>862</v>
      </c>
      <c r="I188" s="40">
        <v>12.8</v>
      </c>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48" customHeight="1" x14ac:dyDescent="0.2">
      <c r="A189" s="15" t="s">
        <v>321</v>
      </c>
      <c r="B189" s="31" t="s">
        <v>568</v>
      </c>
      <c r="C189" s="38" t="s">
        <v>587</v>
      </c>
      <c r="D189" s="43"/>
      <c r="E189" s="38" t="s">
        <v>657</v>
      </c>
      <c r="F189" s="38" t="s">
        <v>716</v>
      </c>
      <c r="G189" s="48" t="s">
        <v>736</v>
      </c>
      <c r="H189" s="40" t="s">
        <v>862</v>
      </c>
      <c r="I189" s="4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5" t="s">
        <v>322</v>
      </c>
      <c r="B190" s="31" t="s">
        <v>484</v>
      </c>
      <c r="C190" s="39"/>
      <c r="D190" s="43"/>
      <c r="E190" s="39"/>
      <c r="F190" s="39"/>
      <c r="G190" s="48" t="s">
        <v>755</v>
      </c>
      <c r="H190" s="40" t="s">
        <v>862</v>
      </c>
      <c r="I190" s="40">
        <v>12.8</v>
      </c>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263" t="str">
        <f>IF($C$28="","Firewalls, IDS, IPS, and Networking",IF($C$28="Yes","FW/IDPS/Networks - Optional based on QUALIFIER response.","Firewalls, IDS, IPS, and Networking"))</f>
        <v>Firewalls, IDS, IPS, and Networking</v>
      </c>
      <c r="B191" s="263"/>
      <c r="C191" s="37" t="str">
        <f>$C$20</f>
        <v>CIS Critical Security Controls v6.1</v>
      </c>
      <c r="D191" s="37" t="str">
        <f>$D$20</f>
        <v>HIPAA</v>
      </c>
      <c r="E191" s="37" t="str">
        <f>$E$20</f>
        <v>ISO 27002:2013</v>
      </c>
      <c r="F191" s="37" t="str">
        <f>$F$20</f>
        <v>NIST Cybersecurity Framework</v>
      </c>
      <c r="G191" s="26" t="str">
        <f>$G$20</f>
        <v>NIST SP 800-171r1</v>
      </c>
      <c r="H191" s="37" t="str">
        <f>$H$20</f>
        <v>NIST SP 800-53r4</v>
      </c>
      <c r="I191" s="175" t="s">
        <v>2063</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5" t="s">
        <v>323</v>
      </c>
      <c r="B192" s="31" t="s">
        <v>33</v>
      </c>
      <c r="C192" s="38" t="s">
        <v>601</v>
      </c>
      <c r="D192" s="43"/>
      <c r="E192" s="38" t="s">
        <v>682</v>
      </c>
      <c r="F192" s="38" t="s">
        <v>812</v>
      </c>
      <c r="G192" s="49"/>
      <c r="H192" s="39"/>
      <c r="I192" s="176">
        <v>1.1000000000000001</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5" t="s">
        <v>324</v>
      </c>
      <c r="B193" s="31" t="s">
        <v>34</v>
      </c>
      <c r="C193" s="38" t="s">
        <v>601</v>
      </c>
      <c r="D193" s="43"/>
      <c r="E193" s="38" t="s">
        <v>682</v>
      </c>
      <c r="F193" s="38" t="s">
        <v>812</v>
      </c>
      <c r="G193" s="49"/>
      <c r="H193" s="39"/>
      <c r="I193" s="176">
        <v>1.1000000000000001</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5" t="s">
        <v>325</v>
      </c>
      <c r="B194" s="31" t="s">
        <v>518</v>
      </c>
      <c r="C194" s="38" t="s">
        <v>601</v>
      </c>
      <c r="D194" s="43"/>
      <c r="E194" s="38" t="s">
        <v>656</v>
      </c>
      <c r="F194" s="38" t="s">
        <v>810</v>
      </c>
      <c r="G194" s="49"/>
      <c r="H194" s="39"/>
      <c r="I194" s="176">
        <v>1.1000000000000001</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5" t="s">
        <v>326</v>
      </c>
      <c r="B195" s="31" t="s">
        <v>519</v>
      </c>
      <c r="C195" s="38" t="s">
        <v>601</v>
      </c>
      <c r="D195" s="43"/>
      <c r="E195" s="38" t="s">
        <v>663</v>
      </c>
      <c r="F195" s="38" t="s">
        <v>810</v>
      </c>
      <c r="G195" s="49"/>
      <c r="H195" s="39"/>
      <c r="I195" s="176">
        <v>1.1000000000000001</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5" t="s">
        <v>327</v>
      </c>
      <c r="B196" s="31" t="s">
        <v>109</v>
      </c>
      <c r="C196" s="38" t="s">
        <v>604</v>
      </c>
      <c r="D196" s="43"/>
      <c r="E196" s="38" t="s">
        <v>676</v>
      </c>
      <c r="F196" s="38" t="s">
        <v>813</v>
      </c>
      <c r="G196" s="48" t="s">
        <v>756</v>
      </c>
      <c r="H196" s="38" t="s">
        <v>877</v>
      </c>
      <c r="I196" s="176">
        <v>11.4</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5" t="s">
        <v>328</v>
      </c>
      <c r="B197" s="31" t="s">
        <v>110</v>
      </c>
      <c r="C197" s="38" t="s">
        <v>604</v>
      </c>
      <c r="D197" s="43"/>
      <c r="E197" s="38" t="s">
        <v>676</v>
      </c>
      <c r="F197" s="38" t="s">
        <v>813</v>
      </c>
      <c r="G197" s="48" t="s">
        <v>756</v>
      </c>
      <c r="H197" s="38" t="s">
        <v>877</v>
      </c>
      <c r="I197" s="176">
        <v>11.4</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5" t="s">
        <v>329</v>
      </c>
      <c r="B198" s="31" t="s">
        <v>130</v>
      </c>
      <c r="C198" s="38" t="s">
        <v>604</v>
      </c>
      <c r="D198" s="43"/>
      <c r="E198" s="38" t="s">
        <v>676</v>
      </c>
      <c r="F198" s="38" t="s">
        <v>813</v>
      </c>
      <c r="G198" s="48" t="s">
        <v>756</v>
      </c>
      <c r="H198" s="38" t="s">
        <v>877</v>
      </c>
      <c r="I198" s="176">
        <v>11.4</v>
      </c>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5" t="s">
        <v>330</v>
      </c>
      <c r="B199" s="31" t="s">
        <v>131</v>
      </c>
      <c r="C199" s="38" t="s">
        <v>604</v>
      </c>
      <c r="D199" s="43"/>
      <c r="E199" s="38" t="s">
        <v>676</v>
      </c>
      <c r="F199" s="38" t="s">
        <v>813</v>
      </c>
      <c r="G199" s="48" t="s">
        <v>756</v>
      </c>
      <c r="H199" s="38" t="s">
        <v>877</v>
      </c>
      <c r="I199" s="176">
        <v>11.4</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5" t="s">
        <v>331</v>
      </c>
      <c r="B200" s="31" t="s">
        <v>2607</v>
      </c>
      <c r="C200" s="38" t="s">
        <v>604</v>
      </c>
      <c r="D200" s="43"/>
      <c r="E200" s="38" t="s">
        <v>683</v>
      </c>
      <c r="F200" s="39"/>
      <c r="G200" s="48" t="s">
        <v>756</v>
      </c>
      <c r="H200" s="38" t="s">
        <v>877</v>
      </c>
      <c r="I200" s="176">
        <v>11.5</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5" t="s">
        <v>332</v>
      </c>
      <c r="B201" s="31" t="s">
        <v>111</v>
      </c>
      <c r="C201" s="38" t="s">
        <v>604</v>
      </c>
      <c r="D201" s="43"/>
      <c r="E201" s="38" t="s">
        <v>683</v>
      </c>
      <c r="F201" s="38" t="s">
        <v>814</v>
      </c>
      <c r="G201" s="48" t="s">
        <v>756</v>
      </c>
      <c r="H201" s="38" t="s">
        <v>877</v>
      </c>
      <c r="I201" s="176">
        <v>11.4</v>
      </c>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5" t="s">
        <v>333</v>
      </c>
      <c r="B202" s="31" t="s">
        <v>112</v>
      </c>
      <c r="C202" s="38" t="s">
        <v>605</v>
      </c>
      <c r="D202" s="43"/>
      <c r="E202" s="38" t="s">
        <v>683</v>
      </c>
      <c r="F202" s="38" t="s">
        <v>814</v>
      </c>
      <c r="G202" s="48" t="s">
        <v>756</v>
      </c>
      <c r="H202" s="38" t="s">
        <v>877</v>
      </c>
      <c r="I202" s="176" t="s">
        <v>2150</v>
      </c>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5" t="s">
        <v>334</v>
      </c>
      <c r="B203" s="31" t="s">
        <v>2608</v>
      </c>
      <c r="C203" s="38" t="s">
        <v>596</v>
      </c>
      <c r="D203" s="43"/>
      <c r="E203" s="38" t="s">
        <v>683</v>
      </c>
      <c r="F203" s="38" t="s">
        <v>815</v>
      </c>
      <c r="G203" s="48" t="s">
        <v>757</v>
      </c>
      <c r="H203" s="38" t="s">
        <v>880</v>
      </c>
      <c r="I203" s="176" t="s">
        <v>2151</v>
      </c>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263" t="str">
        <f>IF(OR($C$23="No",$C$28="Yes"),"Mobile Applications - Optional based on QUALIFIER response.","Mobile Applications")</f>
        <v>Mobile Applications</v>
      </c>
      <c r="B204" s="263"/>
      <c r="C204" s="37" t="str">
        <f>$C$20</f>
        <v>CIS Critical Security Controls v6.1</v>
      </c>
      <c r="D204" s="37" t="str">
        <f>$D$20</f>
        <v>HIPAA</v>
      </c>
      <c r="E204" s="37" t="str">
        <f>$E$20</f>
        <v>ISO 27002:2013</v>
      </c>
      <c r="F204" s="37" t="str">
        <f>$F$20</f>
        <v>NIST Cybersecurity Framework</v>
      </c>
      <c r="G204" s="26" t="str">
        <f>$G$20</f>
        <v>NIST SP 800-171r1</v>
      </c>
      <c r="H204" s="37" t="str">
        <f>$H$20</f>
        <v>NIST SP 800-53r4</v>
      </c>
      <c r="I204" s="175" t="s">
        <v>2063</v>
      </c>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48" customHeight="1" x14ac:dyDescent="0.2">
      <c r="A205" s="15" t="s">
        <v>335</v>
      </c>
      <c r="B205" s="31" t="s">
        <v>52</v>
      </c>
      <c r="C205" s="38" t="s">
        <v>586</v>
      </c>
      <c r="D205" s="43"/>
      <c r="E205" s="39"/>
      <c r="F205" s="39"/>
      <c r="G205" s="50"/>
      <c r="H205" s="39"/>
      <c r="I205" s="39"/>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47.1" customHeight="1" x14ac:dyDescent="0.2">
      <c r="A206" s="15" t="s">
        <v>336</v>
      </c>
      <c r="B206" s="31" t="s">
        <v>520</v>
      </c>
      <c r="C206" s="38" t="s">
        <v>600</v>
      </c>
      <c r="D206" s="43"/>
      <c r="E206" s="39"/>
      <c r="F206" s="38" t="s">
        <v>816</v>
      </c>
      <c r="G206" s="50"/>
      <c r="H206" s="39"/>
      <c r="I206" s="39"/>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5" t="s">
        <v>337</v>
      </c>
      <c r="B207" s="31" t="s">
        <v>53</v>
      </c>
      <c r="C207" s="38" t="s">
        <v>586</v>
      </c>
      <c r="D207" s="43"/>
      <c r="E207" s="39"/>
      <c r="F207" s="38" t="s">
        <v>816</v>
      </c>
      <c r="G207" s="49"/>
      <c r="H207" s="39"/>
      <c r="I207" s="39"/>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65.099999999999994" customHeight="1" x14ac:dyDescent="0.2">
      <c r="A208" s="15" t="s">
        <v>338</v>
      </c>
      <c r="B208" s="31" t="s">
        <v>54</v>
      </c>
      <c r="C208" s="38" t="s">
        <v>606</v>
      </c>
      <c r="D208" s="43"/>
      <c r="E208" s="38" t="s">
        <v>684</v>
      </c>
      <c r="F208" s="38" t="s">
        <v>817</v>
      </c>
      <c r="G208" s="49"/>
      <c r="H208" s="39"/>
      <c r="I208" s="39"/>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36" customHeight="1" x14ac:dyDescent="0.2">
      <c r="A209" s="15" t="s">
        <v>339</v>
      </c>
      <c r="B209" s="31" t="s">
        <v>2705</v>
      </c>
      <c r="C209" s="38" t="s">
        <v>585</v>
      </c>
      <c r="D209" s="43"/>
      <c r="E209" s="38" t="s">
        <v>685</v>
      </c>
      <c r="F209" s="38" t="s">
        <v>817</v>
      </c>
      <c r="G209" s="48" t="s">
        <v>758</v>
      </c>
      <c r="H209" s="38" t="s">
        <v>881</v>
      </c>
      <c r="I209" s="38">
        <v>4.0999999999999996</v>
      </c>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36" customHeight="1" x14ac:dyDescent="0.2">
      <c r="A210" s="15" t="s">
        <v>340</v>
      </c>
      <c r="B210" s="31" t="s">
        <v>2706</v>
      </c>
      <c r="C210" s="38" t="s">
        <v>588</v>
      </c>
      <c r="D210" s="43"/>
      <c r="E210" s="38" t="s">
        <v>685</v>
      </c>
      <c r="F210" s="38" t="s">
        <v>818</v>
      </c>
      <c r="G210" s="49"/>
      <c r="H210" s="39"/>
      <c r="I210" s="39"/>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5" t="s">
        <v>341</v>
      </c>
      <c r="B211" s="31" t="s">
        <v>55</v>
      </c>
      <c r="C211" s="38" t="s">
        <v>594</v>
      </c>
      <c r="D211" s="43"/>
      <c r="E211" s="38" t="s">
        <v>686</v>
      </c>
      <c r="F211" s="39"/>
      <c r="G211" s="49"/>
      <c r="H211" s="39"/>
      <c r="I211" s="39"/>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5" t="s">
        <v>342</v>
      </c>
      <c r="B212" s="31" t="s">
        <v>2707</v>
      </c>
      <c r="C212" s="38" t="s">
        <v>594</v>
      </c>
      <c r="D212" s="43"/>
      <c r="E212" s="39"/>
      <c r="F212" s="39"/>
      <c r="G212" s="49"/>
      <c r="H212" s="39"/>
      <c r="I212" s="39"/>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5" t="s">
        <v>343</v>
      </c>
      <c r="B213" s="31" t="s">
        <v>2615</v>
      </c>
      <c r="C213" s="38" t="s">
        <v>586</v>
      </c>
      <c r="D213" s="43"/>
      <c r="E213" s="38" t="s">
        <v>638</v>
      </c>
      <c r="F213" s="38" t="s">
        <v>816</v>
      </c>
      <c r="G213" s="49"/>
      <c r="H213" s="39"/>
      <c r="I213" s="39"/>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5" t="s">
        <v>344</v>
      </c>
      <c r="B214" s="31" t="s">
        <v>56</v>
      </c>
      <c r="C214" s="38" t="s">
        <v>586</v>
      </c>
      <c r="D214" s="43"/>
      <c r="E214" s="38" t="s">
        <v>687</v>
      </c>
      <c r="F214" s="38" t="s">
        <v>819</v>
      </c>
      <c r="G214" s="49"/>
      <c r="H214" s="39"/>
      <c r="I214" s="39"/>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5" t="s">
        <v>570</v>
      </c>
      <c r="B215" s="31" t="s">
        <v>2650</v>
      </c>
      <c r="C215" s="38" t="s">
        <v>586</v>
      </c>
      <c r="D215" s="43"/>
      <c r="E215" s="38" t="s">
        <v>687</v>
      </c>
      <c r="F215" s="38" t="s">
        <v>819</v>
      </c>
      <c r="G215" s="50"/>
      <c r="H215" s="39"/>
      <c r="I215" s="39"/>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263" t="str">
        <f>IF($C$28="","Physical Security",IF($C$28="Yes","Physical Security - Optional based on QUALIFIER response.","Physical Security"))</f>
        <v>Physical Security</v>
      </c>
      <c r="B216" s="263"/>
      <c r="C216" s="37" t="str">
        <f>$C$20</f>
        <v>CIS Critical Security Controls v6.1</v>
      </c>
      <c r="D216" s="37" t="str">
        <f>$D$20</f>
        <v>HIPAA</v>
      </c>
      <c r="E216" s="37" t="str">
        <f>$E$20</f>
        <v>ISO 27002:2013</v>
      </c>
      <c r="F216" s="37" t="str">
        <f>$F$20</f>
        <v>NIST Cybersecurity Framework</v>
      </c>
      <c r="G216" s="26" t="str">
        <f>$G$20</f>
        <v>NIST SP 800-171r1</v>
      </c>
      <c r="H216" s="37" t="str">
        <f>$H$20</f>
        <v>NIST SP 800-53r4</v>
      </c>
      <c r="I216" s="175" t="s">
        <v>2063</v>
      </c>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64.349999999999994" customHeight="1" x14ac:dyDescent="0.2">
      <c r="A217" s="15" t="s">
        <v>345</v>
      </c>
      <c r="B217" s="31" t="s">
        <v>539</v>
      </c>
      <c r="C217" s="38" t="s">
        <v>600</v>
      </c>
      <c r="D217" s="44"/>
      <c r="E217" s="38" t="s">
        <v>675</v>
      </c>
      <c r="F217" s="38" t="s">
        <v>820</v>
      </c>
      <c r="G217" s="48" t="s">
        <v>759</v>
      </c>
      <c r="H217" s="38" t="s">
        <v>882</v>
      </c>
      <c r="I217" s="38" t="s">
        <v>2149</v>
      </c>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5" t="s">
        <v>346</v>
      </c>
      <c r="B218" s="31" t="s">
        <v>2708</v>
      </c>
      <c r="C218" s="38" t="s">
        <v>585</v>
      </c>
      <c r="D218" s="44"/>
      <c r="E218" s="38" t="s">
        <v>685</v>
      </c>
      <c r="F218" s="38" t="s">
        <v>821</v>
      </c>
      <c r="G218" s="48" t="s">
        <v>761</v>
      </c>
      <c r="H218" s="38" t="s">
        <v>883</v>
      </c>
      <c r="I218" s="38" t="s">
        <v>2152</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5" t="s">
        <v>347</v>
      </c>
      <c r="B219" s="31" t="s">
        <v>162</v>
      </c>
      <c r="C219" s="38" t="s">
        <v>600</v>
      </c>
      <c r="D219" s="44"/>
      <c r="E219" s="38" t="s">
        <v>689</v>
      </c>
      <c r="F219" s="38" t="s">
        <v>822</v>
      </c>
      <c r="G219" s="48" t="s">
        <v>760</v>
      </c>
      <c r="H219" s="38" t="s">
        <v>884</v>
      </c>
      <c r="I219" s="38" t="s">
        <v>2149</v>
      </c>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15" t="s">
        <v>348</v>
      </c>
      <c r="B220" s="31" t="s">
        <v>2616</v>
      </c>
      <c r="C220" s="38" t="s">
        <v>600</v>
      </c>
      <c r="D220" s="44"/>
      <c r="E220" s="38" t="s">
        <v>690</v>
      </c>
      <c r="F220" s="38" t="s">
        <v>822</v>
      </c>
      <c r="G220" s="48" t="s">
        <v>760</v>
      </c>
      <c r="H220" s="38" t="s">
        <v>884</v>
      </c>
      <c r="I220" s="38" t="s">
        <v>2149</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15" t="s">
        <v>349</v>
      </c>
      <c r="B221" s="31" t="s">
        <v>38</v>
      </c>
      <c r="C221" s="38" t="s">
        <v>588</v>
      </c>
      <c r="D221" s="44"/>
      <c r="E221" s="38" t="s">
        <v>688</v>
      </c>
      <c r="F221" s="38" t="s">
        <v>806</v>
      </c>
      <c r="G221" s="48" t="s">
        <v>762</v>
      </c>
      <c r="H221" s="108" t="s">
        <v>883</v>
      </c>
      <c r="I221" s="38" t="s">
        <v>2149</v>
      </c>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36" customHeight="1" x14ac:dyDescent="0.2">
      <c r="A222" s="263" t="str">
        <f>IF($C$28="","Policies, Procedures, and Processes",IF($C$28="Yes","Pol/Pro/Proc - Optional based on QUALIFIER response.","Policies, Procedures, and Processes"))</f>
        <v>Policies, Procedures, and Processes</v>
      </c>
      <c r="B222" s="263"/>
      <c r="C222" s="37" t="str">
        <f>$C$20</f>
        <v>CIS Critical Security Controls v6.1</v>
      </c>
      <c r="D222" s="37" t="str">
        <f>$D$20</f>
        <v>HIPAA</v>
      </c>
      <c r="E222" s="37" t="str">
        <f>$E$20</f>
        <v>ISO 27002:2013</v>
      </c>
      <c r="F222" s="37" t="str">
        <f>$F$20</f>
        <v>NIST Cybersecurity Framework</v>
      </c>
      <c r="G222" s="26" t="str">
        <f>$G$20</f>
        <v>NIST SP 800-171r1</v>
      </c>
      <c r="H222" s="37" t="str">
        <f>$H$20</f>
        <v>NIST SP 800-53r4</v>
      </c>
      <c r="I222" s="175" t="s">
        <v>2063</v>
      </c>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2" customHeight="1" x14ac:dyDescent="0.2">
      <c r="A223" s="15" t="s">
        <v>350</v>
      </c>
      <c r="B223" s="31" t="s">
        <v>129</v>
      </c>
      <c r="C223" s="39"/>
      <c r="D223" s="39"/>
      <c r="E223" s="38" t="s">
        <v>691</v>
      </c>
      <c r="F223" s="38" t="s">
        <v>823</v>
      </c>
      <c r="G223" s="48" t="s">
        <v>763</v>
      </c>
      <c r="H223" s="38" t="s">
        <v>885</v>
      </c>
      <c r="I223" s="38" t="s">
        <v>2153</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36" customHeight="1" x14ac:dyDescent="0.2">
      <c r="A224" s="15" t="s">
        <v>351</v>
      </c>
      <c r="B224" s="31" t="s">
        <v>39</v>
      </c>
      <c r="C224" s="38" t="s">
        <v>607</v>
      </c>
      <c r="D224" s="39"/>
      <c r="E224" s="38" t="s">
        <v>664</v>
      </c>
      <c r="F224" s="38" t="s">
        <v>824</v>
      </c>
      <c r="G224" s="49"/>
      <c r="H224" s="38" t="s">
        <v>886</v>
      </c>
      <c r="I224" s="38" t="s">
        <v>2154</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15" t="s">
        <v>352</v>
      </c>
      <c r="B225" s="31" t="s">
        <v>40</v>
      </c>
      <c r="C225" s="38" t="s">
        <v>585</v>
      </c>
      <c r="D225" s="39"/>
      <c r="E225" s="38" t="s">
        <v>699</v>
      </c>
      <c r="F225" s="39"/>
      <c r="G225" s="49"/>
      <c r="H225" s="38" t="s">
        <v>886</v>
      </c>
      <c r="I225" s="38"/>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2">
      <c r="A226" s="15" t="s">
        <v>353</v>
      </c>
      <c r="B226" s="31" t="s">
        <v>41</v>
      </c>
      <c r="C226" s="38" t="s">
        <v>609</v>
      </c>
      <c r="D226" s="39"/>
      <c r="E226" s="38" t="s">
        <v>638</v>
      </c>
      <c r="F226" s="39"/>
      <c r="G226" s="49"/>
      <c r="H226" s="38" t="s">
        <v>886</v>
      </c>
      <c r="I226" s="38" t="s">
        <v>2155</v>
      </c>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5" t="s">
        <v>354</v>
      </c>
      <c r="B227" s="31" t="s">
        <v>42</v>
      </c>
      <c r="C227" s="38" t="s">
        <v>607</v>
      </c>
      <c r="D227" s="39"/>
      <c r="E227" s="38" t="s">
        <v>638</v>
      </c>
      <c r="F227" s="39"/>
      <c r="G227" s="49"/>
      <c r="H227" s="38" t="s">
        <v>886</v>
      </c>
      <c r="I227" s="38">
        <v>6.3</v>
      </c>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48" customHeight="1" x14ac:dyDescent="0.2">
      <c r="A228" s="15" t="s">
        <v>355</v>
      </c>
      <c r="B228" s="31" t="s">
        <v>2623</v>
      </c>
      <c r="C228" s="38" t="s">
        <v>607</v>
      </c>
      <c r="D228" s="39"/>
      <c r="E228" s="38" t="s">
        <v>700</v>
      </c>
      <c r="F228" s="38" t="s">
        <v>825</v>
      </c>
      <c r="G228" s="49"/>
      <c r="H228" s="38" t="s">
        <v>886</v>
      </c>
      <c r="I228" s="38" t="s">
        <v>2156</v>
      </c>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84" customHeight="1" x14ac:dyDescent="0.2">
      <c r="A229" s="15" t="s">
        <v>356</v>
      </c>
      <c r="B229" s="31" t="s">
        <v>2624</v>
      </c>
      <c r="C229" s="38" t="s">
        <v>607</v>
      </c>
      <c r="D229" s="39"/>
      <c r="E229" s="38" t="s">
        <v>692</v>
      </c>
      <c r="F229" s="38" t="s">
        <v>826</v>
      </c>
      <c r="G229" s="48" t="s">
        <v>736</v>
      </c>
      <c r="H229" s="38" t="s">
        <v>886</v>
      </c>
      <c r="I229" s="38" t="s">
        <v>2157</v>
      </c>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2">
      <c r="A230" s="15" t="s">
        <v>357</v>
      </c>
      <c r="B230" s="31" t="s">
        <v>43</v>
      </c>
      <c r="C230" s="38" t="s">
        <v>607</v>
      </c>
      <c r="D230" s="39"/>
      <c r="E230" s="38" t="s">
        <v>638</v>
      </c>
      <c r="F230" s="39"/>
      <c r="G230" s="48" t="s">
        <v>764</v>
      </c>
      <c r="H230" s="38" t="s">
        <v>886</v>
      </c>
      <c r="I230" s="38" t="s">
        <v>2158</v>
      </c>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2">
      <c r="A231" s="15" t="s">
        <v>358</v>
      </c>
      <c r="B231" s="31" t="s">
        <v>44</v>
      </c>
      <c r="C231" s="38" t="s">
        <v>607</v>
      </c>
      <c r="D231" s="39"/>
      <c r="E231" s="38" t="s">
        <v>638</v>
      </c>
      <c r="F231" s="38" t="s">
        <v>827</v>
      </c>
      <c r="G231" s="49"/>
      <c r="H231" s="38" t="s">
        <v>887</v>
      </c>
      <c r="I231" s="38" t="s">
        <v>2156</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5" t="s">
        <v>359</v>
      </c>
      <c r="B232" s="31" t="s">
        <v>45</v>
      </c>
      <c r="C232" s="38" t="s">
        <v>604</v>
      </c>
      <c r="D232" s="39"/>
      <c r="E232" s="38" t="s">
        <v>693</v>
      </c>
      <c r="F232" s="38" t="s">
        <v>716</v>
      </c>
      <c r="G232" s="48" t="s">
        <v>765</v>
      </c>
      <c r="H232" s="38" t="s">
        <v>888</v>
      </c>
      <c r="I232" s="38" t="s">
        <v>2159</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5" t="s">
        <v>360</v>
      </c>
      <c r="B233" s="31" t="s">
        <v>2625</v>
      </c>
      <c r="C233" s="38" t="s">
        <v>604</v>
      </c>
      <c r="D233" s="39"/>
      <c r="E233" s="38" t="s">
        <v>633</v>
      </c>
      <c r="F233" s="38" t="s">
        <v>714</v>
      </c>
      <c r="G233" s="48" t="s">
        <v>766</v>
      </c>
      <c r="H233" s="38" t="s">
        <v>889</v>
      </c>
      <c r="I233" s="38">
        <v>12.8</v>
      </c>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48" customHeight="1" x14ac:dyDescent="0.2">
      <c r="A234" s="15" t="s">
        <v>361</v>
      </c>
      <c r="B234" s="31" t="s">
        <v>2709</v>
      </c>
      <c r="C234" s="38" t="s">
        <v>585</v>
      </c>
      <c r="D234" s="39"/>
      <c r="E234" s="38" t="s">
        <v>633</v>
      </c>
      <c r="F234" s="39"/>
      <c r="G234" s="48" t="s">
        <v>755</v>
      </c>
      <c r="H234" s="38" t="s">
        <v>890</v>
      </c>
      <c r="I234" s="38">
        <v>12.8</v>
      </c>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36" customHeight="1" x14ac:dyDescent="0.2">
      <c r="A235" s="15" t="s">
        <v>362</v>
      </c>
      <c r="B235" s="31" t="s">
        <v>2710</v>
      </c>
      <c r="C235" s="38" t="s">
        <v>604</v>
      </c>
      <c r="D235" s="39"/>
      <c r="E235" s="38" t="s">
        <v>633</v>
      </c>
      <c r="F235" s="38" t="s">
        <v>714</v>
      </c>
      <c r="G235" s="49"/>
      <c r="H235" s="38" t="s">
        <v>886</v>
      </c>
      <c r="I235" s="38"/>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8" customHeight="1" x14ac:dyDescent="0.2">
      <c r="A236" s="15" t="s">
        <v>363</v>
      </c>
      <c r="B236" s="31" t="s">
        <v>485</v>
      </c>
      <c r="C236" s="38" t="s">
        <v>593</v>
      </c>
      <c r="D236" s="39"/>
      <c r="E236" s="38" t="s">
        <v>694</v>
      </c>
      <c r="F236" s="38" t="s">
        <v>828</v>
      </c>
      <c r="G236" s="48" t="s">
        <v>767</v>
      </c>
      <c r="H236" s="38" t="s">
        <v>891</v>
      </c>
      <c r="I236" s="38">
        <v>12.7</v>
      </c>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5" t="s">
        <v>364</v>
      </c>
      <c r="B237" s="31" t="s">
        <v>46</v>
      </c>
      <c r="C237" s="38" t="s">
        <v>608</v>
      </c>
      <c r="D237" s="39"/>
      <c r="E237" s="38" t="s">
        <v>695</v>
      </c>
      <c r="F237" s="38" t="s">
        <v>828</v>
      </c>
      <c r="G237" s="49"/>
      <c r="H237" s="38" t="s">
        <v>886</v>
      </c>
      <c r="I237" s="38" t="s">
        <v>2160</v>
      </c>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48" customHeight="1" x14ac:dyDescent="0.2">
      <c r="A238" s="15" t="s">
        <v>365</v>
      </c>
      <c r="B238" s="31" t="s">
        <v>2626</v>
      </c>
      <c r="C238" s="38" t="s">
        <v>608</v>
      </c>
      <c r="D238" s="38" t="s">
        <v>616</v>
      </c>
      <c r="E238" s="38" t="s">
        <v>691</v>
      </c>
      <c r="F238" s="38" t="s">
        <v>714</v>
      </c>
      <c r="G238" s="49"/>
      <c r="H238" s="38" t="s">
        <v>886</v>
      </c>
      <c r="I238" s="38" t="s">
        <v>2162</v>
      </c>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48" customHeight="1" x14ac:dyDescent="0.2">
      <c r="A239" s="15" t="s">
        <v>366</v>
      </c>
      <c r="B239" s="31" t="s">
        <v>47</v>
      </c>
      <c r="C239" s="38" t="s">
        <v>608</v>
      </c>
      <c r="D239" s="38" t="s">
        <v>618</v>
      </c>
      <c r="E239" s="38" t="s">
        <v>696</v>
      </c>
      <c r="F239" s="38" t="s">
        <v>829</v>
      </c>
      <c r="G239" s="48" t="s">
        <v>768</v>
      </c>
      <c r="H239" s="38" t="s">
        <v>892</v>
      </c>
      <c r="I239" s="38">
        <v>12.6</v>
      </c>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5" t="s">
        <v>367</v>
      </c>
      <c r="B240" s="31" t="s">
        <v>2627</v>
      </c>
      <c r="C240" s="38" t="s">
        <v>608</v>
      </c>
      <c r="D240" s="38" t="s">
        <v>618</v>
      </c>
      <c r="E240" s="38" t="s">
        <v>696</v>
      </c>
      <c r="F240" s="38" t="s">
        <v>829</v>
      </c>
      <c r="G240" s="48" t="s">
        <v>769</v>
      </c>
      <c r="H240" s="38" t="s">
        <v>893</v>
      </c>
      <c r="I240" s="38">
        <v>12.6</v>
      </c>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5" t="s">
        <v>368</v>
      </c>
      <c r="B241" s="31" t="s">
        <v>2628</v>
      </c>
      <c r="C241" s="38" t="s">
        <v>608</v>
      </c>
      <c r="D241" s="39"/>
      <c r="E241" s="38" t="s">
        <v>697</v>
      </c>
      <c r="F241" s="38" t="s">
        <v>788</v>
      </c>
      <c r="G241" s="48" t="s">
        <v>770</v>
      </c>
      <c r="H241" s="38" t="s">
        <v>886</v>
      </c>
      <c r="I241" s="38" t="s">
        <v>2163</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70.349999999999994" customHeight="1" x14ac:dyDescent="0.2">
      <c r="A242" s="15" t="s">
        <v>369</v>
      </c>
      <c r="B242" s="31" t="s">
        <v>2629</v>
      </c>
      <c r="C242" s="39"/>
      <c r="D242" s="39"/>
      <c r="E242" s="38" t="s">
        <v>698</v>
      </c>
      <c r="F242" s="39"/>
      <c r="G242" s="49"/>
      <c r="H242" s="38" t="s">
        <v>894</v>
      </c>
      <c r="I242" s="49"/>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36" customHeight="1" x14ac:dyDescent="0.2">
      <c r="A243" s="263" t="str">
        <f>IF($C$28="","Product Evaluation",IF($C$28="Yes","Product Evaluation - Optional based on QUALIFIER response.","Product Evaluation"))</f>
        <v>Product Evaluation</v>
      </c>
      <c r="B243" s="263"/>
      <c r="C243" s="37" t="str">
        <f>$C$20</f>
        <v>CIS Critical Security Controls v6.1</v>
      </c>
      <c r="D243" s="37" t="str">
        <f>$D$20</f>
        <v>HIPAA</v>
      </c>
      <c r="E243" s="37" t="str">
        <f>$E$20</f>
        <v>ISO 27002:2013</v>
      </c>
      <c r="F243" s="37" t="str">
        <f>$F$20</f>
        <v>NIST Cybersecurity Framework</v>
      </c>
      <c r="G243" s="26" t="str">
        <f>$G$20</f>
        <v>NIST SP 800-171r1</v>
      </c>
      <c r="H243" s="37" t="str">
        <f>$H$20</f>
        <v>NIST SP 800-53r4</v>
      </c>
      <c r="I243" s="175" t="s">
        <v>2063</v>
      </c>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5" t="s">
        <v>370</v>
      </c>
      <c r="B244" s="31" t="s">
        <v>48</v>
      </c>
      <c r="C244" s="39"/>
      <c r="D244" s="43"/>
      <c r="E244" s="43"/>
      <c r="F244" s="39"/>
      <c r="G244" s="49"/>
      <c r="H244" s="43"/>
      <c r="I244" s="43"/>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36" customHeight="1" x14ac:dyDescent="0.2">
      <c r="A245" s="15" t="s">
        <v>371</v>
      </c>
      <c r="B245" s="31" t="s">
        <v>540</v>
      </c>
      <c r="C245" s="39"/>
      <c r="D245" s="43"/>
      <c r="E245" s="43"/>
      <c r="F245" s="38" t="s">
        <v>826</v>
      </c>
      <c r="G245" s="49"/>
      <c r="H245" s="43"/>
      <c r="I245" s="43"/>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36" customHeight="1" x14ac:dyDescent="0.2">
      <c r="A246" s="263" t="str">
        <f>IF($C$28="","Quality Assurance",IF($C$28="Yes","Quality Assurance - Optional based on QUALIFIER response.","Quality Assurance"))</f>
        <v>Quality Assurance</v>
      </c>
      <c r="B246" s="263"/>
      <c r="C246" s="37" t="str">
        <f>$C$20</f>
        <v>CIS Critical Security Controls v6.1</v>
      </c>
      <c r="D246" s="37" t="str">
        <f>$D$20</f>
        <v>HIPAA</v>
      </c>
      <c r="E246" s="37" t="str">
        <f>$E$20</f>
        <v>ISO 27002:2013</v>
      </c>
      <c r="F246" s="37" t="str">
        <f>$F$20</f>
        <v>NIST Cybersecurity Framework</v>
      </c>
      <c r="G246" s="26" t="str">
        <f>$G$20</f>
        <v>NIST SP 800-171r1</v>
      </c>
      <c r="H246" s="37" t="str">
        <f>$H$20</f>
        <v>NIST SP 800-53r4</v>
      </c>
      <c r="I246" s="175" t="s">
        <v>2063</v>
      </c>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5" t="s">
        <v>372</v>
      </c>
      <c r="B247" s="31" t="s">
        <v>161</v>
      </c>
      <c r="C247" s="38" t="s">
        <v>585</v>
      </c>
      <c r="D247" s="43"/>
      <c r="E247" s="43"/>
      <c r="F247" s="43"/>
      <c r="G247" s="50"/>
      <c r="H247" s="43"/>
      <c r="I247" s="43"/>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36" customHeight="1" x14ac:dyDescent="0.2">
      <c r="A248" s="15" t="s">
        <v>373</v>
      </c>
      <c r="B248" s="31" t="s">
        <v>152</v>
      </c>
      <c r="C248" s="38" t="s">
        <v>585</v>
      </c>
      <c r="D248" s="43"/>
      <c r="E248" s="38" t="s">
        <v>633</v>
      </c>
      <c r="F248" s="39"/>
      <c r="G248" s="49"/>
      <c r="H248" s="43"/>
      <c r="I248" s="43"/>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53.1" customHeight="1" x14ac:dyDescent="0.2">
      <c r="A249" s="15" t="s">
        <v>374</v>
      </c>
      <c r="B249" s="31" t="s">
        <v>153</v>
      </c>
      <c r="C249" s="38" t="s">
        <v>585</v>
      </c>
      <c r="D249" s="43"/>
      <c r="E249" s="43"/>
      <c r="F249" s="39"/>
      <c r="G249" s="49"/>
      <c r="H249" s="43"/>
      <c r="I249" s="43"/>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53.1" customHeight="1" x14ac:dyDescent="0.2">
      <c r="A250" s="15" t="s">
        <v>375</v>
      </c>
      <c r="B250" s="31" t="s">
        <v>2711</v>
      </c>
      <c r="C250" s="39"/>
      <c r="D250" s="43"/>
      <c r="E250" s="43"/>
      <c r="F250" s="39"/>
      <c r="G250" s="49"/>
      <c r="H250" s="43"/>
      <c r="I250" s="43"/>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5" t="s">
        <v>376</v>
      </c>
      <c r="B251" s="31" t="s">
        <v>154</v>
      </c>
      <c r="C251" s="38" t="s">
        <v>608</v>
      </c>
      <c r="D251" s="43"/>
      <c r="E251" s="43"/>
      <c r="F251" s="39"/>
      <c r="G251" s="49"/>
      <c r="H251" s="43"/>
      <c r="I251" s="43"/>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36" customHeight="1" x14ac:dyDescent="0.2">
      <c r="A252" s="263" t="str">
        <f>IF($C$28="","Systems Management &amp; Configuration",IF($C$28="Yes","System Mgmt/Config - Optional based on QUALIFIER response.","Systems Management &amp; Configuration"))</f>
        <v>Systems Management &amp; Configuration</v>
      </c>
      <c r="B252" s="263"/>
      <c r="C252" s="37" t="str">
        <f>$C$20</f>
        <v>CIS Critical Security Controls v6.1</v>
      </c>
      <c r="D252" s="37" t="str">
        <f>$D$20</f>
        <v>HIPAA</v>
      </c>
      <c r="E252" s="37" t="str">
        <f>$E$20</f>
        <v>ISO 27002:2013</v>
      </c>
      <c r="F252" s="37" t="str">
        <f>$F$20</f>
        <v>NIST Cybersecurity Framework</v>
      </c>
      <c r="G252" s="26" t="str">
        <f>$G$20</f>
        <v>NIST SP 800-171r1</v>
      </c>
      <c r="H252" s="37" t="str">
        <f>$H$20</f>
        <v>NIST SP 800-53r4</v>
      </c>
      <c r="I252" s="175" t="s">
        <v>2063</v>
      </c>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9.35" customHeight="1" x14ac:dyDescent="0.2">
      <c r="A253" s="15" t="s">
        <v>377</v>
      </c>
      <c r="B253" s="31" t="s">
        <v>166</v>
      </c>
      <c r="C253" s="38" t="s">
        <v>590</v>
      </c>
      <c r="D253" s="39"/>
      <c r="E253" s="38" t="s">
        <v>682</v>
      </c>
      <c r="F253" s="38" t="s">
        <v>830</v>
      </c>
      <c r="G253" s="48" t="s">
        <v>754</v>
      </c>
      <c r="H253" s="38" t="s">
        <v>845</v>
      </c>
      <c r="I253" s="4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5" t="s">
        <v>378</v>
      </c>
      <c r="B254" s="31" t="s">
        <v>573</v>
      </c>
      <c r="C254" s="38" t="s">
        <v>600</v>
      </c>
      <c r="D254" s="39"/>
      <c r="E254" s="39"/>
      <c r="F254" s="38" t="s">
        <v>831</v>
      </c>
      <c r="G254" s="48" t="s">
        <v>771</v>
      </c>
      <c r="H254" s="38" t="s">
        <v>895</v>
      </c>
      <c r="I254" s="43"/>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48" customHeight="1" x14ac:dyDescent="0.2">
      <c r="A255" s="15" t="s">
        <v>379</v>
      </c>
      <c r="B255" s="31" t="s">
        <v>167</v>
      </c>
      <c r="C255" s="38" t="s">
        <v>600</v>
      </c>
      <c r="D255" s="39"/>
      <c r="E255" s="38" t="s">
        <v>701</v>
      </c>
      <c r="F255" s="39"/>
      <c r="G255" s="48" t="s">
        <v>772</v>
      </c>
      <c r="H255" s="39"/>
      <c r="I255" s="43"/>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349999999999994" customHeight="1" x14ac:dyDescent="0.2">
      <c r="A256" s="15" t="s">
        <v>380</v>
      </c>
      <c r="B256" s="31" t="s">
        <v>168</v>
      </c>
      <c r="C256" s="38" t="s">
        <v>600</v>
      </c>
      <c r="D256" s="39"/>
      <c r="E256" s="38" t="s">
        <v>646</v>
      </c>
      <c r="F256" s="38" t="s">
        <v>832</v>
      </c>
      <c r="G256" s="48" t="s">
        <v>773</v>
      </c>
      <c r="H256" s="108" t="s">
        <v>896</v>
      </c>
      <c r="I256" s="43"/>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36" customHeight="1" x14ac:dyDescent="0.2">
      <c r="A257" s="263" t="str">
        <f>IF($C$28="","Vulnerability Scanning",IF($C$28="Yes","Vulnerability Scanning - Optional based on QUALIFIER response.","Vulnerability Scanning"))</f>
        <v>Vulnerability Scanning</v>
      </c>
      <c r="B257" s="263"/>
      <c r="C257" s="37" t="str">
        <f>$C$20</f>
        <v>CIS Critical Security Controls v6.1</v>
      </c>
      <c r="D257" s="37" t="str">
        <f>$D$20</f>
        <v>HIPAA</v>
      </c>
      <c r="E257" s="37" t="str">
        <f>$E$20</f>
        <v>ISO 27002:2013</v>
      </c>
      <c r="F257" s="37" t="str">
        <f>$F$20</f>
        <v>NIST Cybersecurity Framework</v>
      </c>
      <c r="G257" s="26" t="str">
        <f>$G$20</f>
        <v>NIST SP 800-171r1</v>
      </c>
      <c r="H257" s="37" t="str">
        <f>$H$20</f>
        <v>NIST SP 800-53r4</v>
      </c>
      <c r="I257" s="175" t="s">
        <v>2063</v>
      </c>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36" customHeight="1" x14ac:dyDescent="0.2">
      <c r="A258" s="15" t="s">
        <v>381</v>
      </c>
      <c r="B258" s="31" t="s">
        <v>49</v>
      </c>
      <c r="C258" s="38" t="s">
        <v>607</v>
      </c>
      <c r="D258" s="43"/>
      <c r="E258" s="38" t="s">
        <v>664</v>
      </c>
      <c r="F258" s="38" t="s">
        <v>833</v>
      </c>
      <c r="G258" s="48" t="s">
        <v>774</v>
      </c>
      <c r="H258" s="38" t="s">
        <v>897</v>
      </c>
      <c r="I258" s="176">
        <v>11.2</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36" customHeight="1" x14ac:dyDescent="0.2">
      <c r="A259" s="15" t="s">
        <v>382</v>
      </c>
      <c r="B259" s="31" t="s">
        <v>2651</v>
      </c>
      <c r="C259" s="38" t="s">
        <v>607</v>
      </c>
      <c r="D259" s="43"/>
      <c r="E259" s="38" t="s">
        <v>664</v>
      </c>
      <c r="F259" s="38" t="s">
        <v>833</v>
      </c>
      <c r="G259" s="48" t="s">
        <v>774</v>
      </c>
      <c r="H259" s="38" t="s">
        <v>897</v>
      </c>
      <c r="I259" s="176">
        <v>11.2</v>
      </c>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5.099999999999994" customHeight="1" x14ac:dyDescent="0.2">
      <c r="A260" s="15" t="s">
        <v>383</v>
      </c>
      <c r="B260" s="31" t="s">
        <v>50</v>
      </c>
      <c r="C260" s="38" t="s">
        <v>607</v>
      </c>
      <c r="D260" s="43"/>
      <c r="E260" s="39"/>
      <c r="F260" s="38" t="s">
        <v>833</v>
      </c>
      <c r="G260" s="48" t="s">
        <v>774</v>
      </c>
      <c r="H260" s="38" t="s">
        <v>897</v>
      </c>
      <c r="I260" s="176">
        <v>11.2</v>
      </c>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49.35" customHeight="1" x14ac:dyDescent="0.2">
      <c r="A261" s="15" t="s">
        <v>384</v>
      </c>
      <c r="B261" s="31" t="s">
        <v>51</v>
      </c>
      <c r="C261" s="38" t="s">
        <v>607</v>
      </c>
      <c r="D261" s="43"/>
      <c r="E261" s="39"/>
      <c r="F261" s="38" t="s">
        <v>833</v>
      </c>
      <c r="G261" s="48" t="s">
        <v>774</v>
      </c>
      <c r="H261" s="108" t="s">
        <v>897</v>
      </c>
      <c r="I261" s="176">
        <v>11.2</v>
      </c>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5" t="s">
        <v>385</v>
      </c>
      <c r="B262" s="31" t="s">
        <v>2652</v>
      </c>
      <c r="C262" s="38" t="s">
        <v>607</v>
      </c>
      <c r="D262" s="43"/>
      <c r="E262" s="39"/>
      <c r="F262" s="38" t="s">
        <v>833</v>
      </c>
      <c r="G262" s="49"/>
      <c r="H262" s="38" t="s">
        <v>897</v>
      </c>
      <c r="I262" s="176">
        <v>11.2</v>
      </c>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65.099999999999994" customHeight="1" x14ac:dyDescent="0.2">
      <c r="A263" s="15" t="s">
        <v>386</v>
      </c>
      <c r="B263" s="31" t="s">
        <v>456</v>
      </c>
      <c r="C263" s="38" t="s">
        <v>607</v>
      </c>
      <c r="D263" s="43"/>
      <c r="E263" s="39"/>
      <c r="F263" s="38" t="s">
        <v>833</v>
      </c>
      <c r="G263" s="48" t="s">
        <v>774</v>
      </c>
      <c r="H263" s="38" t="s">
        <v>897</v>
      </c>
      <c r="I263" s="176">
        <v>11.2</v>
      </c>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5" t="s">
        <v>387</v>
      </c>
      <c r="B264" s="31" t="s">
        <v>2712</v>
      </c>
      <c r="C264" s="38" t="s">
        <v>607</v>
      </c>
      <c r="D264" s="43"/>
      <c r="E264" s="39"/>
      <c r="F264" s="38" t="s">
        <v>833</v>
      </c>
      <c r="G264" s="49"/>
      <c r="H264" s="38" t="s">
        <v>897</v>
      </c>
      <c r="I264" s="176">
        <v>11.2</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65.099999999999994" customHeight="1" x14ac:dyDescent="0.2">
      <c r="A265" s="15" t="s">
        <v>388</v>
      </c>
      <c r="B265" s="31" t="s">
        <v>457</v>
      </c>
      <c r="C265" s="38" t="s">
        <v>611</v>
      </c>
      <c r="D265" s="43"/>
      <c r="E265" s="38" t="s">
        <v>664</v>
      </c>
      <c r="F265" s="38" t="s">
        <v>834</v>
      </c>
      <c r="G265" s="48" t="s">
        <v>775</v>
      </c>
      <c r="H265" s="38" t="s">
        <v>897</v>
      </c>
      <c r="I265" s="176" t="s">
        <v>2164</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54" customHeight="1" x14ac:dyDescent="0.2">
      <c r="A266" s="15" t="s">
        <v>389</v>
      </c>
      <c r="B266" s="31" t="s">
        <v>542</v>
      </c>
      <c r="C266" s="38" t="s">
        <v>610</v>
      </c>
      <c r="D266" s="43"/>
      <c r="E266" s="38" t="s">
        <v>702</v>
      </c>
      <c r="F266" s="38" t="s">
        <v>833</v>
      </c>
      <c r="G266" s="48" t="s">
        <v>774</v>
      </c>
      <c r="H266" s="38" t="s">
        <v>897</v>
      </c>
      <c r="I266" s="176" t="s">
        <v>2165</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263" t="str">
        <f>IF(OR($C$22="No",$C$28="Yes"),"HIPAA - Optional based on QUALIFIER response.","HIPAA")</f>
        <v>HIPAA</v>
      </c>
      <c r="B267" s="263"/>
      <c r="C267" s="37" t="str">
        <f>$C$20</f>
        <v>CIS Critical Security Controls v6.1</v>
      </c>
      <c r="D267" s="37" t="str">
        <f>$D$20</f>
        <v>HIPAA</v>
      </c>
      <c r="E267" s="37" t="str">
        <f>$E$20</f>
        <v>ISO 27002:2013</v>
      </c>
      <c r="F267" s="37" t="str">
        <f>$F$20</f>
        <v>NIST Cybersecurity Framework</v>
      </c>
      <c r="G267" s="26" t="str">
        <f>$G$20</f>
        <v>NIST SP 800-171r1</v>
      </c>
      <c r="H267" s="37" t="str">
        <f>$H$20</f>
        <v>NIST SP 800-53r4</v>
      </c>
      <c r="I267" s="175" t="s">
        <v>2063</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65.099999999999994" customHeight="1" x14ac:dyDescent="0.2">
      <c r="A268" s="15" t="s">
        <v>390</v>
      </c>
      <c r="B268" s="31" t="s">
        <v>136</v>
      </c>
      <c r="C268" s="38" t="s">
        <v>608</v>
      </c>
      <c r="D268" s="38" t="s">
        <v>618</v>
      </c>
      <c r="E268" s="38" t="s">
        <v>705</v>
      </c>
      <c r="F268" s="38" t="s">
        <v>714</v>
      </c>
      <c r="G268" s="48" t="s">
        <v>776</v>
      </c>
      <c r="H268" s="38" t="s">
        <v>898</v>
      </c>
      <c r="I268" s="39"/>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2">
      <c r="A269" s="15" t="s">
        <v>391</v>
      </c>
      <c r="B269" s="31" t="s">
        <v>137</v>
      </c>
      <c r="C269" s="38" t="s">
        <v>585</v>
      </c>
      <c r="D269" s="38" t="s">
        <v>619</v>
      </c>
      <c r="E269" s="38" t="s">
        <v>633</v>
      </c>
      <c r="F269" s="38" t="s">
        <v>714</v>
      </c>
      <c r="G269" s="49"/>
      <c r="H269" s="39"/>
      <c r="I269" s="3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5" t="s">
        <v>392</v>
      </c>
      <c r="B270" s="31" t="s">
        <v>138</v>
      </c>
      <c r="C270" s="38" t="s">
        <v>608</v>
      </c>
      <c r="D270" s="38" t="s">
        <v>620</v>
      </c>
      <c r="E270" s="38" t="s">
        <v>633</v>
      </c>
      <c r="F270" s="38" t="s">
        <v>714</v>
      </c>
      <c r="G270" s="49"/>
      <c r="H270" s="39"/>
      <c r="I270" s="39"/>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5" t="s">
        <v>393</v>
      </c>
      <c r="B271" s="31" t="s">
        <v>139</v>
      </c>
      <c r="C271" s="38" t="s">
        <v>585</v>
      </c>
      <c r="D271" s="39"/>
      <c r="E271" s="38" t="s">
        <v>633</v>
      </c>
      <c r="F271" s="38" t="s">
        <v>714</v>
      </c>
      <c r="G271" s="49"/>
      <c r="H271" s="39"/>
      <c r="I271" s="39"/>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5" t="s">
        <v>394</v>
      </c>
      <c r="B272" s="31" t="s">
        <v>140</v>
      </c>
      <c r="C272" s="38" t="s">
        <v>604</v>
      </c>
      <c r="D272" s="38" t="s">
        <v>621</v>
      </c>
      <c r="E272" s="38" t="s">
        <v>703</v>
      </c>
      <c r="F272" s="38" t="s">
        <v>714</v>
      </c>
      <c r="G272" s="48" t="s">
        <v>777</v>
      </c>
      <c r="H272" s="38" t="s">
        <v>899</v>
      </c>
      <c r="I272" s="38" t="s">
        <v>2166</v>
      </c>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48" customHeight="1" x14ac:dyDescent="0.2">
      <c r="A273" s="15" t="s">
        <v>395</v>
      </c>
      <c r="B273" s="31" t="s">
        <v>141</v>
      </c>
      <c r="C273" s="38" t="s">
        <v>604</v>
      </c>
      <c r="D273" s="38" t="s">
        <v>707</v>
      </c>
      <c r="E273" s="38" t="s">
        <v>706</v>
      </c>
      <c r="F273" s="38" t="s">
        <v>714</v>
      </c>
      <c r="G273" s="48" t="s">
        <v>778</v>
      </c>
      <c r="H273" s="38" t="s">
        <v>900</v>
      </c>
      <c r="I273" s="38">
        <v>12.8</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48" customHeight="1" x14ac:dyDescent="0.2">
      <c r="A274" s="15" t="s">
        <v>396</v>
      </c>
      <c r="B274" s="31" t="s">
        <v>142</v>
      </c>
      <c r="C274" s="38" t="s">
        <v>585</v>
      </c>
      <c r="D274" s="38" t="s">
        <v>616</v>
      </c>
      <c r="E274" s="39"/>
      <c r="F274" s="38" t="s">
        <v>714</v>
      </c>
      <c r="G274" s="49"/>
      <c r="H274" s="39"/>
      <c r="I274" s="38">
        <v>12.2</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48" customHeight="1" x14ac:dyDescent="0.2">
      <c r="A275" s="15" t="s">
        <v>397</v>
      </c>
      <c r="B275" s="31" t="s">
        <v>143</v>
      </c>
      <c r="C275" s="38" t="s">
        <v>607</v>
      </c>
      <c r="D275" s="38" t="s">
        <v>628</v>
      </c>
      <c r="E275" s="39"/>
      <c r="F275" s="38" t="s">
        <v>714</v>
      </c>
      <c r="G275" s="49"/>
      <c r="H275" s="39"/>
      <c r="I275" s="38">
        <v>12.2</v>
      </c>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48" customHeight="1" x14ac:dyDescent="0.2">
      <c r="A276" s="15" t="s">
        <v>398</v>
      </c>
      <c r="B276" s="31" t="s">
        <v>144</v>
      </c>
      <c r="C276" s="38" t="s">
        <v>607</v>
      </c>
      <c r="D276" s="38" t="s">
        <v>617</v>
      </c>
      <c r="E276" s="39"/>
      <c r="F276" s="38" t="s">
        <v>714</v>
      </c>
      <c r="G276" s="49"/>
      <c r="H276" s="39"/>
      <c r="I276" s="38">
        <v>12.2</v>
      </c>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48" customHeight="1" x14ac:dyDescent="0.2">
      <c r="A277" s="15" t="s">
        <v>399</v>
      </c>
      <c r="B277" s="31" t="s">
        <v>57</v>
      </c>
      <c r="C277" s="38" t="s">
        <v>594</v>
      </c>
      <c r="D277" s="38" t="s">
        <v>622</v>
      </c>
      <c r="E277" s="38" t="s">
        <v>650</v>
      </c>
      <c r="F277" s="38" t="s">
        <v>714</v>
      </c>
      <c r="G277" s="48" t="s">
        <v>726</v>
      </c>
      <c r="H277" s="38" t="s">
        <v>854</v>
      </c>
      <c r="I277" s="39"/>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48" customHeight="1" x14ac:dyDescent="0.2">
      <c r="A278" s="15" t="s">
        <v>400</v>
      </c>
      <c r="B278" s="31" t="s">
        <v>58</v>
      </c>
      <c r="C278" s="38" t="s">
        <v>594</v>
      </c>
      <c r="D278" s="38" t="s">
        <v>622</v>
      </c>
      <c r="E278" s="38" t="s">
        <v>650</v>
      </c>
      <c r="F278" s="38" t="s">
        <v>714</v>
      </c>
      <c r="G278" s="48" t="s">
        <v>779</v>
      </c>
      <c r="H278" s="38" t="s">
        <v>855</v>
      </c>
      <c r="I278" s="39"/>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48" customHeight="1" x14ac:dyDescent="0.2">
      <c r="A279" s="15" t="s">
        <v>401</v>
      </c>
      <c r="B279" s="31" t="s">
        <v>59</v>
      </c>
      <c r="C279" s="38" t="s">
        <v>594</v>
      </c>
      <c r="D279" s="38" t="s">
        <v>629</v>
      </c>
      <c r="E279" s="38" t="s">
        <v>650</v>
      </c>
      <c r="F279" s="38" t="s">
        <v>714</v>
      </c>
      <c r="G279" s="48" t="s">
        <v>780</v>
      </c>
      <c r="H279" s="38" t="s">
        <v>901</v>
      </c>
      <c r="I279" s="3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48" customHeight="1" x14ac:dyDescent="0.2">
      <c r="A280" s="15" t="s">
        <v>402</v>
      </c>
      <c r="B280" s="31" t="s">
        <v>60</v>
      </c>
      <c r="C280" s="38" t="s">
        <v>594</v>
      </c>
      <c r="D280" s="38" t="s">
        <v>630</v>
      </c>
      <c r="E280" s="38" t="s">
        <v>650</v>
      </c>
      <c r="F280" s="38" t="s">
        <v>714</v>
      </c>
      <c r="G280" s="48" t="s">
        <v>781</v>
      </c>
      <c r="H280" s="38" t="s">
        <v>902</v>
      </c>
      <c r="I280" s="38" t="s">
        <v>2135</v>
      </c>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48" customHeight="1" x14ac:dyDescent="0.2">
      <c r="A281" s="15" t="s">
        <v>403</v>
      </c>
      <c r="B281" s="31" t="s">
        <v>61</v>
      </c>
      <c r="C281" s="38" t="s">
        <v>594</v>
      </c>
      <c r="D281" s="38" t="s">
        <v>713</v>
      </c>
      <c r="E281" s="38" t="s">
        <v>650</v>
      </c>
      <c r="F281" s="38" t="s">
        <v>714</v>
      </c>
      <c r="G281" s="48" t="s">
        <v>730</v>
      </c>
      <c r="H281" s="38" t="s">
        <v>855</v>
      </c>
      <c r="I281" s="38" t="s">
        <v>2135</v>
      </c>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48" customHeight="1" x14ac:dyDescent="0.2">
      <c r="A282" s="15" t="s">
        <v>404</v>
      </c>
      <c r="B282" s="31" t="s">
        <v>543</v>
      </c>
      <c r="C282" s="38" t="s">
        <v>594</v>
      </c>
      <c r="D282" s="38" t="s">
        <v>713</v>
      </c>
      <c r="E282" s="39"/>
      <c r="F282" s="38" t="s">
        <v>714</v>
      </c>
      <c r="G282" s="49"/>
      <c r="H282" s="39"/>
      <c r="I282" s="38" t="s">
        <v>2135</v>
      </c>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row>
    <row r="283" spans="1:259" ht="64.349999999999994" customHeight="1" x14ac:dyDescent="0.2">
      <c r="A283" s="15" t="s">
        <v>405</v>
      </c>
      <c r="B283" s="31" t="s">
        <v>62</v>
      </c>
      <c r="C283" s="38" t="s">
        <v>594</v>
      </c>
      <c r="D283" s="38" t="s">
        <v>710</v>
      </c>
      <c r="E283" s="39"/>
      <c r="F283" s="38" t="s">
        <v>714</v>
      </c>
      <c r="G283" s="48" t="s">
        <v>719</v>
      </c>
      <c r="H283" s="39"/>
      <c r="I283" s="38" t="s">
        <v>2135</v>
      </c>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row>
    <row r="284" spans="1:259" ht="64.349999999999994" customHeight="1" x14ac:dyDescent="0.2">
      <c r="A284" s="15" t="s">
        <v>406</v>
      </c>
      <c r="B284" s="31" t="s">
        <v>521</v>
      </c>
      <c r="C284" s="38" t="s">
        <v>612</v>
      </c>
      <c r="D284" s="38" t="s">
        <v>708</v>
      </c>
      <c r="E284" s="38" t="s">
        <v>644</v>
      </c>
      <c r="F284" s="38" t="s">
        <v>714</v>
      </c>
      <c r="G284" s="48" t="s">
        <v>782</v>
      </c>
      <c r="H284" s="39"/>
      <c r="I284" s="38" t="s">
        <v>2135</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row>
    <row r="285" spans="1:259" ht="64.349999999999994" customHeight="1" x14ac:dyDescent="0.2">
      <c r="A285" s="15" t="s">
        <v>407</v>
      </c>
      <c r="B285" s="31" t="s">
        <v>63</v>
      </c>
      <c r="C285" s="38" t="s">
        <v>594</v>
      </c>
      <c r="D285" s="38" t="s">
        <v>709</v>
      </c>
      <c r="E285" s="38" t="s">
        <v>704</v>
      </c>
      <c r="F285" s="38" t="s">
        <v>714</v>
      </c>
      <c r="G285" s="48" t="s">
        <v>719</v>
      </c>
      <c r="H285" s="39"/>
      <c r="I285" s="38" t="s">
        <v>2135</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row>
    <row r="286" spans="1:259" ht="47.1" customHeight="1" x14ac:dyDescent="0.2">
      <c r="A286" s="15" t="s">
        <v>408</v>
      </c>
      <c r="B286" s="31" t="s">
        <v>64</v>
      </c>
      <c r="C286" s="38" t="s">
        <v>594</v>
      </c>
      <c r="D286" s="38" t="s">
        <v>712</v>
      </c>
      <c r="E286" s="38" t="s">
        <v>704</v>
      </c>
      <c r="F286" s="38" t="s">
        <v>714</v>
      </c>
      <c r="G286" s="49"/>
      <c r="H286" s="39"/>
      <c r="I286" s="39"/>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row>
    <row r="287" spans="1:259" ht="47.1" customHeight="1" x14ac:dyDescent="0.2">
      <c r="A287" s="15" t="s">
        <v>409</v>
      </c>
      <c r="B287" s="31" t="s">
        <v>70</v>
      </c>
      <c r="C287" s="38" t="s">
        <v>613</v>
      </c>
      <c r="D287" s="38" t="s">
        <v>712</v>
      </c>
      <c r="E287" s="39"/>
      <c r="F287" s="38" t="s">
        <v>714</v>
      </c>
      <c r="G287" s="48" t="s">
        <v>757</v>
      </c>
      <c r="H287" s="38" t="s">
        <v>903</v>
      </c>
      <c r="I287" s="38" t="s">
        <v>2135</v>
      </c>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row>
    <row r="288" spans="1:259" ht="48" customHeight="1" x14ac:dyDescent="0.2">
      <c r="A288" s="15" t="s">
        <v>410</v>
      </c>
      <c r="B288" s="31" t="s">
        <v>65</v>
      </c>
      <c r="C288" s="38" t="s">
        <v>596</v>
      </c>
      <c r="D288" s="38" t="s">
        <v>623</v>
      </c>
      <c r="E288" s="38" t="s">
        <v>683</v>
      </c>
      <c r="F288" s="38" t="s">
        <v>714</v>
      </c>
      <c r="G288" s="48" t="s">
        <v>783</v>
      </c>
      <c r="H288" s="38" t="s">
        <v>904</v>
      </c>
      <c r="I288" s="38">
        <v>10.7</v>
      </c>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row>
    <row r="289" spans="1:259" ht="65.099999999999994" customHeight="1" x14ac:dyDescent="0.2">
      <c r="A289" s="15" t="s">
        <v>411</v>
      </c>
      <c r="B289" s="31" t="s">
        <v>66</v>
      </c>
      <c r="C289" s="38" t="s">
        <v>596</v>
      </c>
      <c r="D289" s="38" t="s">
        <v>624</v>
      </c>
      <c r="E289" s="38" t="s">
        <v>683</v>
      </c>
      <c r="F289" s="38" t="s">
        <v>714</v>
      </c>
      <c r="G289" s="49"/>
      <c r="H289" s="39"/>
      <c r="I289" s="38">
        <v>10.7</v>
      </c>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row>
    <row r="290" spans="1:259" ht="36" customHeight="1" x14ac:dyDescent="0.2">
      <c r="A290" s="15" t="s">
        <v>412</v>
      </c>
      <c r="B290" s="31" t="s">
        <v>67</v>
      </c>
      <c r="C290" s="38" t="s">
        <v>596</v>
      </c>
      <c r="D290" s="38" t="s">
        <v>624</v>
      </c>
      <c r="E290" s="38" t="s">
        <v>683</v>
      </c>
      <c r="F290" s="38" t="s">
        <v>714</v>
      </c>
      <c r="G290" s="49"/>
      <c r="H290" s="39"/>
      <c r="I290" s="38">
        <v>10.7</v>
      </c>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row>
    <row r="291" spans="1:259" ht="36" customHeight="1" x14ac:dyDescent="0.2">
      <c r="A291" s="15" t="s">
        <v>413</v>
      </c>
      <c r="B291" s="31" t="s">
        <v>68</v>
      </c>
      <c r="C291" s="38" t="s">
        <v>596</v>
      </c>
      <c r="D291" s="38" t="s">
        <v>624</v>
      </c>
      <c r="E291" s="38" t="s">
        <v>683</v>
      </c>
      <c r="F291" s="38" t="s">
        <v>714</v>
      </c>
      <c r="G291" s="49"/>
      <c r="H291" s="39"/>
      <c r="I291" s="38">
        <v>10.7</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row>
    <row r="292" spans="1:259" ht="36" customHeight="1" x14ac:dyDescent="0.2">
      <c r="A292" s="15" t="s">
        <v>414</v>
      </c>
      <c r="B292" s="31" t="s">
        <v>69</v>
      </c>
      <c r="C292" s="38" t="s">
        <v>596</v>
      </c>
      <c r="D292" s="38" t="s">
        <v>624</v>
      </c>
      <c r="E292" s="38" t="s">
        <v>683</v>
      </c>
      <c r="F292" s="38" t="s">
        <v>714</v>
      </c>
      <c r="G292" s="49"/>
      <c r="H292" s="39"/>
      <c r="I292" s="38">
        <v>10.7</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row>
    <row r="293" spans="1:259" ht="48" customHeight="1" x14ac:dyDescent="0.2">
      <c r="A293" s="15" t="s">
        <v>415</v>
      </c>
      <c r="B293" s="31" t="s">
        <v>145</v>
      </c>
      <c r="C293" s="38" t="s">
        <v>587</v>
      </c>
      <c r="D293" s="38" t="s">
        <v>625</v>
      </c>
      <c r="E293" s="38" t="s">
        <v>633</v>
      </c>
      <c r="F293" s="38" t="s">
        <v>714</v>
      </c>
      <c r="G293" s="49"/>
      <c r="H293" s="39"/>
      <c r="I293" s="38">
        <v>10.7</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row>
    <row r="294" spans="1:259" ht="47.1" customHeight="1" x14ac:dyDescent="0.2">
      <c r="A294" s="15" t="s">
        <v>416</v>
      </c>
      <c r="B294" s="31" t="s">
        <v>146</v>
      </c>
      <c r="C294" s="38" t="s">
        <v>587</v>
      </c>
      <c r="D294" s="38" t="s">
        <v>626</v>
      </c>
      <c r="E294" s="38" t="s">
        <v>657</v>
      </c>
      <c r="F294" s="38" t="s">
        <v>714</v>
      </c>
      <c r="G294" s="48" t="s">
        <v>736</v>
      </c>
      <c r="H294" s="39"/>
      <c r="I294" s="38">
        <v>12.1</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row>
    <row r="295" spans="1:259" ht="36" customHeight="1" x14ac:dyDescent="0.2">
      <c r="A295" s="15" t="s">
        <v>417</v>
      </c>
      <c r="B295" s="31" t="s">
        <v>147</v>
      </c>
      <c r="C295" s="38" t="s">
        <v>587</v>
      </c>
      <c r="D295" s="38" t="s">
        <v>626</v>
      </c>
      <c r="E295" s="38" t="s">
        <v>658</v>
      </c>
      <c r="F295" s="38" t="s">
        <v>714</v>
      </c>
      <c r="G295" s="48" t="s">
        <v>784</v>
      </c>
      <c r="H295" s="39"/>
      <c r="I295" s="38">
        <v>12.1</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row>
    <row r="296" spans="1:259" ht="36" customHeight="1" x14ac:dyDescent="0.2">
      <c r="A296" s="15" t="s">
        <v>418</v>
      </c>
      <c r="B296" s="31" t="s">
        <v>71</v>
      </c>
      <c r="C296" s="38" t="s">
        <v>587</v>
      </c>
      <c r="D296" s="38" t="s">
        <v>627</v>
      </c>
      <c r="E296" s="38" t="s">
        <v>633</v>
      </c>
      <c r="F296" s="38" t="s">
        <v>714</v>
      </c>
      <c r="G296" s="49"/>
      <c r="H296" s="39"/>
      <c r="I296" s="38">
        <v>10.7</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row>
    <row r="297" spans="1:259" ht="53.1" customHeight="1" x14ac:dyDescent="0.2">
      <c r="A297" s="15" t="s">
        <v>419</v>
      </c>
      <c r="B297" s="31" t="s">
        <v>148</v>
      </c>
      <c r="C297" s="38" t="s">
        <v>587</v>
      </c>
      <c r="D297" s="38" t="s">
        <v>631</v>
      </c>
      <c r="E297" s="38" t="s">
        <v>633</v>
      </c>
      <c r="F297" s="38" t="s">
        <v>714</v>
      </c>
      <c r="G297" s="49"/>
      <c r="H297" s="39"/>
      <c r="I297" s="39"/>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row>
    <row r="298" spans="1:259" ht="63" customHeight="1" x14ac:dyDescent="0.2">
      <c r="A298" s="15" t="s">
        <v>420</v>
      </c>
      <c r="B298" s="31" t="s">
        <v>486</v>
      </c>
      <c r="C298" s="38" t="s">
        <v>587</v>
      </c>
      <c r="D298" s="38" t="s">
        <v>711</v>
      </c>
      <c r="E298" s="38" t="s">
        <v>633</v>
      </c>
      <c r="F298" s="38" t="s">
        <v>714</v>
      </c>
      <c r="G298" s="49"/>
      <c r="H298" s="39"/>
      <c r="I298" s="38">
        <v>12.8</v>
      </c>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row>
    <row r="299" spans="1:259" ht="36" customHeight="1" x14ac:dyDescent="0.2">
      <c r="A299" s="263" t="str">
        <f>IF(OR($C$27="No",$C$28="Yes"),"PCI DSS - Optional based on QUALIFIER response.","PCI DSS")</f>
        <v>PCI DSS</v>
      </c>
      <c r="B299" s="263"/>
      <c r="C299" s="37" t="str">
        <f>$C$20</f>
        <v>CIS Critical Security Controls v6.1</v>
      </c>
      <c r="D299" s="37" t="str">
        <f>$D$20</f>
        <v>HIPAA</v>
      </c>
      <c r="E299" s="37" t="str">
        <f>$E$20</f>
        <v>ISO 27002:2013</v>
      </c>
      <c r="F299" s="37" t="str">
        <f>$F$20</f>
        <v>NIST Cybersecurity Framework</v>
      </c>
      <c r="G299" s="26" t="str">
        <f>$G$20</f>
        <v>NIST SP 800-171r1</v>
      </c>
      <c r="H299" s="37" t="str">
        <f>$H$20</f>
        <v>NIST SP 800-53r4</v>
      </c>
      <c r="I299" s="175" t="s">
        <v>2063</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row>
    <row r="300" spans="1:259" ht="48" customHeight="1" x14ac:dyDescent="0.2">
      <c r="A300" s="15" t="s">
        <v>421</v>
      </c>
      <c r="B300" s="31" t="s">
        <v>2633</v>
      </c>
      <c r="C300" s="38" t="s">
        <v>587</v>
      </c>
      <c r="D300" s="43"/>
      <c r="E300" s="38" t="s">
        <v>633</v>
      </c>
      <c r="F300" s="38" t="s">
        <v>714</v>
      </c>
      <c r="G300" s="49"/>
      <c r="H300" s="43"/>
      <c r="I300" s="38">
        <v>12.8</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row>
    <row r="301" spans="1:259" ht="48" customHeight="1" x14ac:dyDescent="0.2">
      <c r="A301" s="15" t="s">
        <v>422</v>
      </c>
      <c r="B301" s="31" t="s">
        <v>72</v>
      </c>
      <c r="C301" s="38" t="s">
        <v>587</v>
      </c>
      <c r="D301" s="43"/>
      <c r="E301" s="38" t="s">
        <v>633</v>
      </c>
      <c r="F301" s="38" t="s">
        <v>714</v>
      </c>
      <c r="G301" s="49"/>
      <c r="H301" s="43"/>
      <c r="I301" s="38">
        <v>12.8</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row>
    <row r="302" spans="1:259" ht="48" customHeight="1" x14ac:dyDescent="0.2">
      <c r="A302" s="15" t="s">
        <v>423</v>
      </c>
      <c r="B302" s="31" t="s">
        <v>73</v>
      </c>
      <c r="C302" s="38" t="s">
        <v>587</v>
      </c>
      <c r="D302" s="43"/>
      <c r="E302" s="38" t="s">
        <v>633</v>
      </c>
      <c r="F302" s="38" t="s">
        <v>714</v>
      </c>
      <c r="G302" s="49"/>
      <c r="H302" s="43"/>
      <c r="I302" s="38">
        <v>12.8</v>
      </c>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row>
    <row r="303" spans="1:259" ht="36" customHeight="1" x14ac:dyDescent="0.2">
      <c r="A303" s="15" t="s">
        <v>424</v>
      </c>
      <c r="B303" s="31" t="s">
        <v>74</v>
      </c>
      <c r="C303" s="39"/>
      <c r="D303" s="43"/>
      <c r="E303" s="43"/>
      <c r="F303" s="38" t="s">
        <v>714</v>
      </c>
      <c r="G303" s="49"/>
      <c r="H303" s="43"/>
      <c r="I303" s="38">
        <v>12.8</v>
      </c>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row>
    <row r="304" spans="1:259" ht="36" customHeight="1" x14ac:dyDescent="0.2">
      <c r="A304" s="15" t="s">
        <v>425</v>
      </c>
      <c r="B304" s="31" t="s">
        <v>75</v>
      </c>
      <c r="C304" s="39"/>
      <c r="D304" s="43"/>
      <c r="E304" s="43"/>
      <c r="F304" s="38" t="s">
        <v>714</v>
      </c>
      <c r="G304" s="49"/>
      <c r="H304" s="43"/>
      <c r="I304" s="38">
        <v>12.8</v>
      </c>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row>
    <row r="305" spans="1:259" ht="36" customHeight="1" x14ac:dyDescent="0.2">
      <c r="A305" s="15" t="s">
        <v>426</v>
      </c>
      <c r="B305" s="31" t="s">
        <v>76</v>
      </c>
      <c r="C305" s="39"/>
      <c r="D305" s="43"/>
      <c r="E305" s="43"/>
      <c r="F305" s="38" t="s">
        <v>714</v>
      </c>
      <c r="G305" s="49"/>
      <c r="H305" s="43"/>
      <c r="I305" s="38">
        <v>12.8</v>
      </c>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row>
    <row r="306" spans="1:259" ht="64.349999999999994" customHeight="1" x14ac:dyDescent="0.2">
      <c r="A306" s="15" t="s">
        <v>427</v>
      </c>
      <c r="B306" s="31" t="s">
        <v>77</v>
      </c>
      <c r="C306" s="38" t="s">
        <v>614</v>
      </c>
      <c r="D306" s="43"/>
      <c r="E306" s="43"/>
      <c r="F306" s="38" t="s">
        <v>714</v>
      </c>
      <c r="G306" s="50"/>
      <c r="H306" s="43"/>
      <c r="I306" s="38" t="s">
        <v>2127</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row>
    <row r="307" spans="1:259" ht="64.349999999999994" customHeight="1" x14ac:dyDescent="0.2">
      <c r="A307" s="15" t="s">
        <v>428</v>
      </c>
      <c r="B307" s="31" t="s">
        <v>78</v>
      </c>
      <c r="C307" s="38" t="s">
        <v>586</v>
      </c>
      <c r="D307" s="43"/>
      <c r="E307" s="43"/>
      <c r="F307" s="38" t="s">
        <v>714</v>
      </c>
      <c r="G307" s="50"/>
      <c r="H307" s="43"/>
      <c r="I307" s="38">
        <v>12.8</v>
      </c>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row>
    <row r="308" spans="1:259" ht="36" customHeight="1" x14ac:dyDescent="0.2">
      <c r="A308" s="15" t="s">
        <v>429</v>
      </c>
      <c r="B308" s="31" t="s">
        <v>79</v>
      </c>
      <c r="C308" s="38" t="s">
        <v>587</v>
      </c>
      <c r="D308" s="43"/>
      <c r="E308" s="43"/>
      <c r="F308" s="38" t="s">
        <v>714</v>
      </c>
      <c r="G308" s="49"/>
      <c r="H308" s="43"/>
      <c r="I308" s="38">
        <v>12.8</v>
      </c>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row>
    <row r="309" spans="1:259" ht="36" customHeight="1" x14ac:dyDescent="0.2">
      <c r="A309" s="15" t="s">
        <v>430</v>
      </c>
      <c r="B309" s="31" t="s">
        <v>80</v>
      </c>
      <c r="C309" s="39"/>
      <c r="D309" s="43"/>
      <c r="E309" s="43"/>
      <c r="F309" s="38" t="s">
        <v>714</v>
      </c>
      <c r="G309" s="49"/>
      <c r="H309" s="43"/>
      <c r="I309" s="38">
        <v>12.8</v>
      </c>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row>
    <row r="310" spans="1:259" ht="54" customHeight="1" x14ac:dyDescent="0.2">
      <c r="A310" s="15" t="s">
        <v>431</v>
      </c>
      <c r="B310" s="31" t="s">
        <v>2634</v>
      </c>
      <c r="C310" s="38" t="s">
        <v>615</v>
      </c>
      <c r="D310" s="43"/>
      <c r="E310" s="43"/>
      <c r="F310" s="38" t="s">
        <v>714</v>
      </c>
      <c r="G310" s="49"/>
      <c r="H310" s="43"/>
      <c r="I310" s="38">
        <v>12.8</v>
      </c>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row>
    <row r="311" spans="1:259" ht="64.349999999999994" customHeight="1" x14ac:dyDescent="0.2">
      <c r="A311" s="15" t="s">
        <v>432</v>
      </c>
      <c r="B311" s="31" t="s">
        <v>81</v>
      </c>
      <c r="C311" s="38" t="s">
        <v>587</v>
      </c>
      <c r="D311" s="43"/>
      <c r="E311" s="43"/>
      <c r="F311" s="38" t="s">
        <v>714</v>
      </c>
      <c r="G311" s="50"/>
      <c r="H311" s="43"/>
      <c r="I311" s="38">
        <v>12.8</v>
      </c>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row>
    <row r="314" spans="1:259" ht="15" customHeight="1" x14ac:dyDescent="0.2">
      <c r="A314" s="191" t="s">
        <v>578</v>
      </c>
      <c r="B314" s="192">
        <v>4</v>
      </c>
    </row>
    <row r="315" spans="1:259" ht="15" customHeight="1" x14ac:dyDescent="0.2">
      <c r="A315" s="191" t="s">
        <v>579</v>
      </c>
      <c r="B315" s="192">
        <v>5</v>
      </c>
    </row>
    <row r="316" spans="1:259" ht="15" customHeight="1" x14ac:dyDescent="0.2">
      <c r="A316" s="191" t="s">
        <v>906</v>
      </c>
      <c r="B316" s="192">
        <v>6</v>
      </c>
    </row>
    <row r="317" spans="1:259" ht="15" customHeight="1" x14ac:dyDescent="0.2">
      <c r="A317" s="191" t="s">
        <v>582</v>
      </c>
      <c r="B317" s="192">
        <v>7</v>
      </c>
    </row>
    <row r="318" spans="1:259" ht="15" customHeight="1" x14ac:dyDescent="0.2">
      <c r="A318" s="191" t="s">
        <v>581</v>
      </c>
      <c r="B318" s="192">
        <v>8</v>
      </c>
    </row>
    <row r="319" spans="1:259" ht="15" customHeight="1" x14ac:dyDescent="0.2">
      <c r="A319" s="191" t="s">
        <v>580</v>
      </c>
      <c r="B319" s="192">
        <v>9</v>
      </c>
    </row>
    <row r="320" spans="1:259" ht="15" customHeight="1" x14ac:dyDescent="0.2">
      <c r="A320" s="193" t="s">
        <v>2063</v>
      </c>
      <c r="B320" s="192">
        <v>10</v>
      </c>
    </row>
  </sheetData>
  <mergeCells count="25">
    <mergeCell ref="A154:B154"/>
    <mergeCell ref="A157:B157"/>
    <mergeCell ref="A125:B125"/>
    <mergeCell ref="A109:B109"/>
    <mergeCell ref="A243:B243"/>
    <mergeCell ref="A216:B216"/>
    <mergeCell ref="A222:B222"/>
    <mergeCell ref="A204:B204"/>
    <mergeCell ref="A177:B177"/>
    <mergeCell ref="A191:B191"/>
    <mergeCell ref="A267:B267"/>
    <mergeCell ref="A299:B299"/>
    <mergeCell ref="A246:B246"/>
    <mergeCell ref="A252:B252"/>
    <mergeCell ref="A257:B257"/>
    <mergeCell ref="A96:B96"/>
    <mergeCell ref="A78:B78"/>
    <mergeCell ref="A59:B59"/>
    <mergeCell ref="A49:B49"/>
    <mergeCell ref="A44:B44"/>
    <mergeCell ref="A2:H2"/>
    <mergeCell ref="A1:I1"/>
    <mergeCell ref="A29:B29"/>
    <mergeCell ref="A36:B36"/>
    <mergeCell ref="A20:B20"/>
  </mergeCells>
  <conditionalFormatting sqref="A204">
    <cfRule type="expression" dxfId="2652" priority="290">
      <formula>$C$23="No"</formula>
    </cfRule>
  </conditionalFormatting>
  <conditionalFormatting sqref="A267">
    <cfRule type="expression" dxfId="2651" priority="289">
      <formula>$C$22="No"</formula>
    </cfRule>
  </conditionalFormatting>
  <conditionalFormatting sqref="A44">
    <cfRule type="expression" dxfId="2650" priority="288">
      <formula>$C$24="No"</formula>
    </cfRule>
  </conditionalFormatting>
  <conditionalFormatting sqref="A177">
    <cfRule type="expression" dxfId="2649" priority="287">
      <formula>$C$26="No"</formula>
    </cfRule>
  </conditionalFormatting>
  <conditionalFormatting sqref="A162:A163 H162:H163 C162:E163">
    <cfRule type="expression" dxfId="2648" priority="237">
      <formula>$C$161="No"</formula>
    </cfRule>
  </conditionalFormatting>
  <conditionalFormatting sqref="A167 H167 C167:E167">
    <cfRule type="expression" dxfId="2647" priority="284">
      <formula>$C$166="No"</formula>
    </cfRule>
  </conditionalFormatting>
  <conditionalFormatting sqref="A163 H163 C163:E163">
    <cfRule type="expression" dxfId="2646" priority="236">
      <formula>$C$162="No"</formula>
    </cfRule>
  </conditionalFormatting>
  <conditionalFormatting sqref="D61:E61 H61">
    <cfRule type="expression" dxfId="2645" priority="283">
      <formula>$C$60="No"</formula>
    </cfRule>
  </conditionalFormatting>
  <conditionalFormatting sqref="C89:E89 H89">
    <cfRule type="expression" dxfId="2644" priority="247">
      <formula>$C$88="No"</formula>
    </cfRule>
  </conditionalFormatting>
  <conditionalFormatting sqref="C91:E92 H91:H92">
    <cfRule type="expression" dxfId="2643" priority="279">
      <formula>$C$90="No"</formula>
    </cfRule>
  </conditionalFormatting>
  <conditionalFormatting sqref="A259 H259 C259:E259">
    <cfRule type="expression" dxfId="2642" priority="218">
      <formula>$C$258="No"</formula>
    </cfRule>
  </conditionalFormatting>
  <conditionalFormatting sqref="A262 H262 C262:E262">
    <cfRule type="expression" dxfId="2641" priority="219">
      <formula>$C$261="No"</formula>
    </cfRule>
  </conditionalFormatting>
  <conditionalFormatting sqref="C212:E212 H212">
    <cfRule type="expression" dxfId="2640" priority="230">
      <formula>$C$211="No"</formula>
    </cfRule>
  </conditionalFormatting>
  <conditionalFormatting sqref="C215:E215 H215">
    <cfRule type="expression" dxfId="2639" priority="231">
      <formula>$C$214="No"</formula>
    </cfRule>
  </conditionalFormatting>
  <conditionalFormatting sqref="A299">
    <cfRule type="expression" dxfId="2638" priority="274">
      <formula>$C$27="No"</formula>
    </cfRule>
  </conditionalFormatting>
  <conditionalFormatting sqref="A292 H292 C292:E292">
    <cfRule type="expression" dxfId="2637" priority="258">
      <formula>$C$291="No"</formula>
    </cfRule>
  </conditionalFormatting>
  <conditionalFormatting sqref="A240 H240 C240:E240">
    <cfRule type="expression" dxfId="2636" priority="227">
      <formula>$C$239="No"</formula>
    </cfRule>
  </conditionalFormatting>
  <conditionalFormatting sqref="C56:H56">
    <cfRule type="expression" dxfId="2635" priority="270">
      <formula>$C$55="No"</formula>
    </cfRule>
  </conditionalFormatting>
  <conditionalFormatting sqref="C58 E58:H58">
    <cfRule type="expression" dxfId="2634" priority="269">
      <formula>$C$57="No"</formula>
    </cfRule>
  </conditionalFormatting>
  <conditionalFormatting sqref="A49">
    <cfRule type="expression" dxfId="2633" priority="268">
      <formula>$C$28="No"</formula>
    </cfRule>
  </conditionalFormatting>
  <conditionalFormatting sqref="C149:D149 C150:C153">
    <cfRule type="expression" dxfId="2632" priority="266">
      <formula>$C$148="No"</formula>
    </cfRule>
  </conditionalFormatting>
  <conditionalFormatting sqref="C137:E137 H137">
    <cfRule type="expression" dxfId="2631" priority="241">
      <formula>$C$136="No"</formula>
    </cfRule>
  </conditionalFormatting>
  <conditionalFormatting sqref="A111 H111 C111:E111">
    <cfRule type="expression" dxfId="2630" priority="242">
      <formula>$C$110="No"</formula>
    </cfRule>
  </conditionalFormatting>
  <conditionalFormatting sqref="A173 H173 C173:E173">
    <cfRule type="expression" dxfId="2629" priority="263">
      <formula>$C$172="No"</formula>
    </cfRule>
  </conditionalFormatting>
  <conditionalFormatting sqref="A202 H202 C202:E202">
    <cfRule type="expression" dxfId="2628" priority="232">
      <formula>$C$201="No"</formula>
    </cfRule>
  </conditionalFormatting>
  <conditionalFormatting sqref="I184:I185 I188 C183:H183">
    <cfRule type="expression" dxfId="2627" priority="234">
      <formula>$C$182="No"</formula>
    </cfRule>
  </conditionalFormatting>
  <conditionalFormatting sqref="A96">
    <cfRule type="expression" dxfId="2626" priority="260">
      <formula>$C$25="No"</formula>
    </cfRule>
  </conditionalFormatting>
  <conditionalFormatting sqref="A275:A276 H275:H276 C275:E276">
    <cfRule type="expression" dxfId="2625" priority="216">
      <formula>$C$274="No"</formula>
    </cfRule>
  </conditionalFormatting>
  <conditionalFormatting sqref="A276 H276 C276:E276">
    <cfRule type="expression" dxfId="2624" priority="217">
      <formula>$C$275="No"</formula>
    </cfRule>
  </conditionalFormatting>
  <conditionalFormatting sqref="E50:E58 H50:I58">
    <cfRule type="expression" dxfId="2623" priority="257">
      <formula>$C$28="No"</formula>
    </cfRule>
  </conditionalFormatting>
  <conditionalFormatting sqref="E45:E48">
    <cfRule type="expression" dxfId="2622" priority="256">
      <formula>$C$24="No"</formula>
    </cfRule>
  </conditionalFormatting>
  <conditionalFormatting sqref="C256:D256">
    <cfRule type="expression" dxfId="2621" priority="255">
      <formula>$C$166="No"</formula>
    </cfRule>
  </conditionalFormatting>
  <conditionalFormatting sqref="C242:D242">
    <cfRule type="expression" dxfId="2620" priority="254">
      <formula>$C$237="No"</formula>
    </cfRule>
  </conditionalFormatting>
  <conditionalFormatting sqref="A59:B59 A78:B78 A96:B96 A109:B109 A125:B125 A157:B157 A177:B177 A191:B191 A204:B204 A222:B222 A243:B243 A246:B246 A252:B252 A267:B267 A299:B299">
    <cfRule type="expression" dxfId="2619" priority="252">
      <formula>$C$28="Yes"</formula>
    </cfRule>
  </conditionalFormatting>
  <conditionalFormatting sqref="A154:B154">
    <cfRule type="expression" dxfId="2618" priority="251">
      <formula>$C$28="Yes"</formula>
    </cfRule>
  </conditionalFormatting>
  <conditionalFormatting sqref="A216:B216">
    <cfRule type="expression" dxfId="2617" priority="250">
      <formula>$C$28="Yes"</formula>
    </cfRule>
  </conditionalFormatting>
  <conditionalFormatting sqref="A257:B257">
    <cfRule type="expression" dxfId="2616" priority="249">
      <formula>$C$28="Yes"</formula>
    </cfRule>
  </conditionalFormatting>
  <conditionalFormatting sqref="E61 E268:E298 H268:H298 E63 E223:E242 H223:I241 H63 I89 I92:I95 I117 I121:I124 I151 I161:I163 I165:I169 I175:I176 I184:I185 I188 I280:I285 I287:I296 I298 I79:I87 E79:E95 H79:H95 E97:E108 H97:H108 E178:E190 H178:H190 H242 E126:E153 H126:H153 I126:I148 B135:B153">
    <cfRule type="expression" dxfId="2615" priority="280">
      <formula>$C$28="Yes"</formula>
    </cfRule>
  </conditionalFormatting>
  <conditionalFormatting sqref="E110:E124">
    <cfRule type="expression" dxfId="2614" priority="243">
      <formula>$C$28="Yes"</formula>
    </cfRule>
  </conditionalFormatting>
  <conditionalFormatting sqref="E155:E156">
    <cfRule type="expression" dxfId="2613" priority="238">
      <formula>$C$28="Yes"</formula>
    </cfRule>
  </conditionalFormatting>
  <conditionalFormatting sqref="E158:E176">
    <cfRule type="expression" dxfId="2612" priority="285">
      <formula>$C$28="Yes"</formula>
    </cfRule>
  </conditionalFormatting>
  <conditionalFormatting sqref="E192:E203">
    <cfRule type="expression" dxfId="2611" priority="233">
      <formula>$C$28="Yes"</formula>
    </cfRule>
  </conditionalFormatting>
  <conditionalFormatting sqref="E205:E215">
    <cfRule type="expression" dxfId="2610" priority="275">
      <formula>$C$28="Yes"</formula>
    </cfRule>
  </conditionalFormatting>
  <conditionalFormatting sqref="E217:E221">
    <cfRule type="expression" dxfId="2609" priority="228">
      <formula>$C$28="Yes"</formula>
    </cfRule>
  </conditionalFormatting>
  <conditionalFormatting sqref="E244:E245">
    <cfRule type="expression" dxfId="2608" priority="224">
      <formula>$C$28="Yes"</formula>
    </cfRule>
  </conditionalFormatting>
  <conditionalFormatting sqref="E247:E251">
    <cfRule type="expression" dxfId="2607" priority="222">
      <formula>$C$28="Yes"</formula>
    </cfRule>
  </conditionalFormatting>
  <conditionalFormatting sqref="E253:E256">
    <cfRule type="expression" dxfId="2606" priority="220">
      <formula>$C$28="Yes"</formula>
    </cfRule>
  </conditionalFormatting>
  <conditionalFormatting sqref="E258:E266">
    <cfRule type="expression" dxfId="2605" priority="277">
      <formula>$C$28="Yes"</formula>
    </cfRule>
  </conditionalFormatting>
  <conditionalFormatting sqref="E300:E311">
    <cfRule type="expression" dxfId="2604" priority="214">
      <formula>$C$28="Yes"</formula>
    </cfRule>
  </conditionalFormatting>
  <conditionalFormatting sqref="A295:A298 H295 C295:E295">
    <cfRule type="expression" dxfId="2603" priority="213">
      <formula>$C$294="No"</formula>
    </cfRule>
  </conditionalFormatting>
  <conditionalFormatting sqref="F162:F163">
    <cfRule type="expression" dxfId="2602" priority="170">
      <formula>$C$161="No"</formula>
    </cfRule>
  </conditionalFormatting>
  <conditionalFormatting sqref="F167">
    <cfRule type="expression" dxfId="2601" priority="206">
      <formula>$C$166="No"</formula>
    </cfRule>
  </conditionalFormatting>
  <conditionalFormatting sqref="F163">
    <cfRule type="expression" dxfId="2600" priority="169">
      <formula>$C$162="No"</formula>
    </cfRule>
  </conditionalFormatting>
  <conditionalFormatting sqref="F89">
    <cfRule type="expression" dxfId="2599" priority="178">
      <formula>$C$88="No"</formula>
    </cfRule>
  </conditionalFormatting>
  <conditionalFormatting sqref="F91:F92">
    <cfRule type="expression" dxfId="2598" priority="202">
      <formula>$C$90="No"</formula>
    </cfRule>
  </conditionalFormatting>
  <conditionalFormatting sqref="F259">
    <cfRule type="expression" dxfId="2597" priority="155">
      <formula>$C$258="No"</formula>
    </cfRule>
  </conditionalFormatting>
  <conditionalFormatting sqref="F262">
    <cfRule type="expression" dxfId="2596" priority="156">
      <formula>$C$261="No"</formula>
    </cfRule>
  </conditionalFormatting>
  <conditionalFormatting sqref="F212">
    <cfRule type="expression" dxfId="2595" priority="163">
      <formula>$C$211="No"</formula>
    </cfRule>
  </conditionalFormatting>
  <conditionalFormatting sqref="F215">
    <cfRule type="expression" dxfId="2594" priority="164">
      <formula>$C$214="No"</formula>
    </cfRule>
  </conditionalFormatting>
  <conditionalFormatting sqref="F292">
    <cfRule type="expression" dxfId="2593" priority="188">
      <formula>$C$291="No"</formula>
    </cfRule>
  </conditionalFormatting>
  <conditionalFormatting sqref="F240">
    <cfRule type="expression" dxfId="2592" priority="161">
      <formula>$C$239="No"</formula>
    </cfRule>
  </conditionalFormatting>
  <conditionalFormatting sqref="F149:F153">
    <cfRule type="expression" dxfId="2591" priority="193">
      <formula>$C$148="No"</formula>
    </cfRule>
  </conditionalFormatting>
  <conditionalFormatting sqref="F137">
    <cfRule type="expression" dxfId="2590" priority="173">
      <formula>$C$136="No"</formula>
    </cfRule>
  </conditionalFormatting>
  <conditionalFormatting sqref="F111">
    <cfRule type="expression" dxfId="2589" priority="174">
      <formula>$C$110="No"</formula>
    </cfRule>
  </conditionalFormatting>
  <conditionalFormatting sqref="F173">
    <cfRule type="expression" dxfId="2588" priority="191">
      <formula>$C$172="No"</formula>
    </cfRule>
  </conditionalFormatting>
  <conditionalFormatting sqref="F202">
    <cfRule type="expression" dxfId="2587" priority="165">
      <formula>$C$201="No"</formula>
    </cfRule>
  </conditionalFormatting>
  <conditionalFormatting sqref="F275:F276">
    <cfRule type="expression" dxfId="2586" priority="153">
      <formula>$C$274="No"</formula>
    </cfRule>
  </conditionalFormatting>
  <conditionalFormatting sqref="F276">
    <cfRule type="expression" dxfId="2585" priority="154">
      <formula>$C$275="No"</formula>
    </cfRule>
  </conditionalFormatting>
  <conditionalFormatting sqref="H45:H48">
    <cfRule type="expression" dxfId="2584" priority="186">
      <formula>$C$24="No"</formula>
    </cfRule>
  </conditionalFormatting>
  <conditionalFormatting sqref="F256">
    <cfRule type="expression" dxfId="2583" priority="185">
      <formula>$C$166="No"</formula>
    </cfRule>
  </conditionalFormatting>
  <conditionalFormatting sqref="F242">
    <cfRule type="expression" dxfId="2582" priority="184">
      <formula>$C$237="No"</formula>
    </cfRule>
  </conditionalFormatting>
  <conditionalFormatting sqref="H60:H61">
    <cfRule type="expression" dxfId="2581" priority="203">
      <formula>$C$28="Yes"</formula>
    </cfRule>
  </conditionalFormatting>
  <conditionalFormatting sqref="H110:H124">
    <cfRule type="expression" dxfId="2580" priority="175">
      <formula>$C$28="Yes"</formula>
    </cfRule>
  </conditionalFormatting>
  <conditionalFormatting sqref="H155:H156">
    <cfRule type="expression" dxfId="2579" priority="171">
      <formula>$C$28="Yes"</formula>
    </cfRule>
  </conditionalFormatting>
  <conditionalFormatting sqref="H158:H176">
    <cfRule type="expression" dxfId="2578" priority="207">
      <formula>$C$28="Yes"</formula>
    </cfRule>
  </conditionalFormatting>
  <conditionalFormatting sqref="H192:H203">
    <cfRule type="expression" dxfId="2577" priority="166">
      <formula>$C$28="Yes"</formula>
    </cfRule>
  </conditionalFormatting>
  <conditionalFormatting sqref="H205:H215">
    <cfRule type="expression" dxfId="2576" priority="200">
      <formula>$C$28="Yes"</formula>
    </cfRule>
  </conditionalFormatting>
  <conditionalFormatting sqref="H217:H221">
    <cfRule type="expression" dxfId="2575" priority="162">
      <formula>$C$28="Yes"</formula>
    </cfRule>
  </conditionalFormatting>
  <conditionalFormatting sqref="H244:H245">
    <cfRule type="expression" dxfId="2574" priority="159">
      <formula>$C$28="Yes"</formula>
    </cfRule>
  </conditionalFormatting>
  <conditionalFormatting sqref="H247:H251">
    <cfRule type="expression" dxfId="2573" priority="158">
      <formula>$C$28="Yes"</formula>
    </cfRule>
  </conditionalFormatting>
  <conditionalFormatting sqref="H253:H256">
    <cfRule type="expression" dxfId="2572" priority="157">
      <formula>$C$28="Yes"</formula>
    </cfRule>
  </conditionalFormatting>
  <conditionalFormatting sqref="H258:H266">
    <cfRule type="expression" dxfId="2571" priority="201">
      <formula>$C$28="Yes"</formula>
    </cfRule>
  </conditionalFormatting>
  <conditionalFormatting sqref="H300:H311">
    <cfRule type="expression" dxfId="2570" priority="152">
      <formula>$C$28="Yes"</formula>
    </cfRule>
  </conditionalFormatting>
  <conditionalFormatting sqref="F295">
    <cfRule type="expression" dxfId="2569" priority="151">
      <formula>$C$294="No"</formula>
    </cfRule>
  </conditionalFormatting>
  <conditionalFormatting sqref="G162:G163">
    <cfRule type="expression" dxfId="2568" priority="134">
      <formula>$C$161="No"</formula>
    </cfRule>
  </conditionalFormatting>
  <conditionalFormatting sqref="G167">
    <cfRule type="expression" dxfId="2567" priority="150">
      <formula>$C$166="No"</formula>
    </cfRule>
  </conditionalFormatting>
  <conditionalFormatting sqref="G163">
    <cfRule type="expression" dxfId="2566" priority="133">
      <formula>$C$162="No"</formula>
    </cfRule>
  </conditionalFormatting>
  <conditionalFormatting sqref="G89">
    <cfRule type="expression" dxfId="2565" priority="139">
      <formula>$C$88="No"</formula>
    </cfRule>
  </conditionalFormatting>
  <conditionalFormatting sqref="G91:G92">
    <cfRule type="expression" dxfId="2564" priority="149">
      <formula>$C$90="No"</formula>
    </cfRule>
  </conditionalFormatting>
  <conditionalFormatting sqref="G259">
    <cfRule type="expression" dxfId="2563" priority="125">
      <formula>$C$258="No"</formula>
    </cfRule>
  </conditionalFormatting>
  <conditionalFormatting sqref="G262">
    <cfRule type="expression" dxfId="2562" priority="126">
      <formula>$C$261="No"</formula>
    </cfRule>
  </conditionalFormatting>
  <conditionalFormatting sqref="G212">
    <cfRule type="expression" dxfId="2561" priority="129">
      <formula>$C$211="No"</formula>
    </cfRule>
  </conditionalFormatting>
  <conditionalFormatting sqref="G215">
    <cfRule type="expression" dxfId="2560" priority="130">
      <formula>$C$214="No"</formula>
    </cfRule>
  </conditionalFormatting>
  <conditionalFormatting sqref="G292">
    <cfRule type="expression" dxfId="2559" priority="143">
      <formula>$C$291="No"</formula>
    </cfRule>
  </conditionalFormatting>
  <conditionalFormatting sqref="G240">
    <cfRule type="expression" dxfId="2558" priority="128">
      <formula>$C$239="No"</formula>
    </cfRule>
  </conditionalFormatting>
  <conditionalFormatting sqref="G149:G153">
    <cfRule type="expression" dxfId="2557" priority="146">
      <formula>$C$148="No"</formula>
    </cfRule>
  </conditionalFormatting>
  <conditionalFormatting sqref="G137">
    <cfRule type="expression" dxfId="2556" priority="136">
      <formula>$C$136="No"</formula>
    </cfRule>
  </conditionalFormatting>
  <conditionalFormatting sqref="G111">
    <cfRule type="expression" dxfId="2555" priority="137">
      <formula>$C$110="No"</formula>
    </cfRule>
  </conditionalFormatting>
  <conditionalFormatting sqref="G173">
    <cfRule type="expression" dxfId="2554" priority="144">
      <formula>$C$172="No"</formula>
    </cfRule>
  </conditionalFormatting>
  <conditionalFormatting sqref="G202">
    <cfRule type="expression" dxfId="2553" priority="131">
      <formula>$C$201="No"</formula>
    </cfRule>
  </conditionalFormatting>
  <conditionalFormatting sqref="G275:G276">
    <cfRule type="expression" dxfId="2552" priority="123">
      <formula>$C$274="No"</formula>
    </cfRule>
  </conditionalFormatting>
  <conditionalFormatting sqref="G276">
    <cfRule type="expression" dxfId="2551" priority="124">
      <formula>$C$275="No"</formula>
    </cfRule>
  </conditionalFormatting>
  <conditionalFormatting sqref="G256">
    <cfRule type="expression" dxfId="2550" priority="142">
      <formula>$C$166="No"</formula>
    </cfRule>
  </conditionalFormatting>
  <conditionalFormatting sqref="G242">
    <cfRule type="expression" dxfId="2549" priority="141">
      <formula>$C$237="No"</formula>
    </cfRule>
  </conditionalFormatting>
  <conditionalFormatting sqref="G295">
    <cfRule type="expression" dxfId="2548" priority="122">
      <formula>$C$294="No"</formula>
    </cfRule>
  </conditionalFormatting>
  <conditionalFormatting sqref="I45:I48">
    <cfRule type="expression" dxfId="2547" priority="121">
      <formula>$C$24="No"</formula>
    </cfRule>
  </conditionalFormatting>
  <conditionalFormatting sqref="I60:I61">
    <cfRule type="expression" dxfId="2546" priority="119">
      <formula>$C$60="No"</formula>
    </cfRule>
  </conditionalFormatting>
  <conditionalFormatting sqref="I60:I61">
    <cfRule type="expression" dxfId="2545" priority="118">
      <formula>$C$28="Yes"</formula>
    </cfRule>
  </conditionalFormatting>
  <conditionalFormatting sqref="I88">
    <cfRule type="expression" dxfId="2544" priority="116">
      <formula>$C$28="Yes"</formula>
    </cfRule>
  </conditionalFormatting>
  <conditionalFormatting sqref="I90:I91">
    <cfRule type="expression" dxfId="2543" priority="115">
      <formula>$C$28="Yes"</formula>
    </cfRule>
  </conditionalFormatting>
  <conditionalFormatting sqref="I104:I108">
    <cfRule type="expression" dxfId="2542" priority="114">
      <formula>$C$28="Yes"</formula>
    </cfRule>
  </conditionalFormatting>
  <conditionalFormatting sqref="I110:I114">
    <cfRule type="expression" dxfId="2541" priority="113">
      <formula>$C$28="Yes"</formula>
    </cfRule>
  </conditionalFormatting>
  <conditionalFormatting sqref="I149:I150">
    <cfRule type="expression" dxfId="2540" priority="110">
      <formula>$C$28="Yes"</formula>
    </cfRule>
  </conditionalFormatting>
  <conditionalFormatting sqref="I152:I153">
    <cfRule type="expression" dxfId="2539" priority="109">
      <formula>$C$28="Yes"</formula>
    </cfRule>
  </conditionalFormatting>
  <conditionalFormatting sqref="I155:I156">
    <cfRule type="expression" dxfId="2538" priority="108">
      <formula>$C$28="Yes"</formula>
    </cfRule>
  </conditionalFormatting>
  <conditionalFormatting sqref="I158">
    <cfRule type="expression" dxfId="2537" priority="107">
      <formula>$C$28="Yes"</formula>
    </cfRule>
  </conditionalFormatting>
  <conditionalFormatting sqref="I159:I160">
    <cfRule type="expression" dxfId="2536" priority="106">
      <formula>$C$28="Yes"</formula>
    </cfRule>
  </conditionalFormatting>
  <conditionalFormatting sqref="I164">
    <cfRule type="expression" dxfId="2535" priority="105">
      <formula>$C$28="Yes"</formula>
    </cfRule>
  </conditionalFormatting>
  <conditionalFormatting sqref="I170:I174">
    <cfRule type="expression" dxfId="2534" priority="104">
      <formula>$C$28="Yes"</formula>
    </cfRule>
  </conditionalFormatting>
  <conditionalFormatting sqref="I178:I181">
    <cfRule type="expression" dxfId="2533" priority="103">
      <formula>$C$182="No"</formula>
    </cfRule>
  </conditionalFormatting>
  <conditionalFormatting sqref="I178:I181">
    <cfRule type="expression" dxfId="2532" priority="102">
      <formula>$C$28="Yes"</formula>
    </cfRule>
  </conditionalFormatting>
  <conditionalFormatting sqref="I190">
    <cfRule type="expression" dxfId="2531" priority="101">
      <formula>$C$28="Yes"</formula>
    </cfRule>
  </conditionalFormatting>
  <conditionalFormatting sqref="I209">
    <cfRule type="expression" dxfId="2530" priority="100">
      <formula>$C$28="Yes"</formula>
    </cfRule>
  </conditionalFormatting>
  <conditionalFormatting sqref="I205:I208">
    <cfRule type="expression" dxfId="2529" priority="99">
      <formula>$C$28="Yes"</formula>
    </cfRule>
  </conditionalFormatting>
  <conditionalFormatting sqref="I210:I215">
    <cfRule type="expression" dxfId="2528" priority="98">
      <formula>$C$28="Yes"</formula>
    </cfRule>
  </conditionalFormatting>
  <conditionalFormatting sqref="I217:I221">
    <cfRule type="expression" dxfId="2527" priority="97">
      <formula>$C$28="Yes"</formula>
    </cfRule>
  </conditionalFormatting>
  <conditionalFormatting sqref="I244:I245">
    <cfRule type="expression" dxfId="2526" priority="95">
      <formula>$C$28="Yes"</formula>
    </cfRule>
  </conditionalFormatting>
  <conditionalFormatting sqref="I247:I251">
    <cfRule type="expression" dxfId="2525" priority="94">
      <formula>$C$28="Yes"</formula>
    </cfRule>
  </conditionalFormatting>
  <conditionalFormatting sqref="I253:I256">
    <cfRule type="expression" dxfId="2524" priority="93">
      <formula>$C$28="Yes"</formula>
    </cfRule>
  </conditionalFormatting>
  <conditionalFormatting sqref="I272:I276">
    <cfRule type="expression" dxfId="2523" priority="92">
      <formula>$C$28="Yes"</formula>
    </cfRule>
  </conditionalFormatting>
  <conditionalFormatting sqref="I268:I271">
    <cfRule type="expression" dxfId="2522" priority="91">
      <formula>$C$28="Yes"</formula>
    </cfRule>
  </conditionalFormatting>
  <conditionalFormatting sqref="I277:I279">
    <cfRule type="expression" dxfId="2521" priority="88">
      <formula>$C$274="No"</formula>
    </cfRule>
  </conditionalFormatting>
  <conditionalFormatting sqref="I277:I279">
    <cfRule type="expression" dxfId="2520" priority="89">
      <formula>$C$275="No"</formula>
    </cfRule>
  </conditionalFormatting>
  <conditionalFormatting sqref="I277:I279">
    <cfRule type="expression" dxfId="2519" priority="90">
      <formula>$C$28="Yes"</formula>
    </cfRule>
  </conditionalFormatting>
  <conditionalFormatting sqref="I286">
    <cfRule type="expression" dxfId="2518" priority="87">
      <formula>$C$28="Yes"</formula>
    </cfRule>
  </conditionalFormatting>
  <conditionalFormatting sqref="I297">
    <cfRule type="expression" dxfId="2517" priority="86">
      <formula>$C$28="Yes"</formula>
    </cfRule>
  </conditionalFormatting>
  <conditionalFormatting sqref="I300:I311">
    <cfRule type="expression" dxfId="2516" priority="85">
      <formula>$C$28="Yes"</formula>
    </cfRule>
  </conditionalFormatting>
  <conditionalFormatting sqref="B45:B47">
    <cfRule type="expression" dxfId="2515" priority="83">
      <formula>$C$24="No"</formula>
    </cfRule>
  </conditionalFormatting>
  <conditionalFormatting sqref="B48">
    <cfRule type="expression" dxfId="2514" priority="82">
      <formula>$C$24="No"</formula>
    </cfRule>
  </conditionalFormatting>
  <conditionalFormatting sqref="B58">
    <cfRule type="expression" dxfId="2513" priority="81">
      <formula>$C$57="No"</formula>
    </cfRule>
  </conditionalFormatting>
  <conditionalFormatting sqref="B50:B55 B57:B58">
    <cfRule type="expression" dxfId="2512" priority="80">
      <formula>$C$28="No"</formula>
    </cfRule>
  </conditionalFormatting>
  <conditionalFormatting sqref="B56">
    <cfRule type="expression" dxfId="2511" priority="79">
      <formula>$C$28="No"</formula>
    </cfRule>
  </conditionalFormatting>
  <conditionalFormatting sqref="B60:B63">
    <cfRule type="expression" dxfId="2510" priority="78">
      <formula>$C$28="Yes"</formula>
    </cfRule>
  </conditionalFormatting>
  <conditionalFormatting sqref="B66:B68">
    <cfRule type="expression" dxfId="2509" priority="77">
      <formula>$C$28="Yes"</formula>
    </cfRule>
  </conditionalFormatting>
  <conditionalFormatting sqref="B65">
    <cfRule type="expression" dxfId="2508" priority="76">
      <formula>$C$28="Yes"</formula>
    </cfRule>
  </conditionalFormatting>
  <conditionalFormatting sqref="B69">
    <cfRule type="expression" dxfId="2507" priority="75">
      <formula>$C$28="Yes"</formula>
    </cfRule>
  </conditionalFormatting>
  <conditionalFormatting sqref="B70:B73">
    <cfRule type="expression" dxfId="2506" priority="74">
      <formula>$C$28="Yes"</formula>
    </cfRule>
  </conditionalFormatting>
  <conditionalFormatting sqref="B74:B77">
    <cfRule type="expression" dxfId="2505" priority="73">
      <formula>$C$28="Yes"</formula>
    </cfRule>
  </conditionalFormatting>
  <conditionalFormatting sqref="B89">
    <cfRule type="expression" dxfId="2504" priority="69">
      <formula>$C$88="No"</formula>
    </cfRule>
  </conditionalFormatting>
  <conditionalFormatting sqref="B91:B92">
    <cfRule type="expression" dxfId="2503" priority="70">
      <formula>$C$90="No"</formula>
    </cfRule>
  </conditionalFormatting>
  <conditionalFormatting sqref="B84:B93">
    <cfRule type="expression" dxfId="2502" priority="71">
      <formula>$C$28="Yes"</formula>
    </cfRule>
  </conditionalFormatting>
  <conditionalFormatting sqref="B79">
    <cfRule type="expression" dxfId="2501" priority="72">
      <formula>$C$28="Yes"</formula>
    </cfRule>
  </conditionalFormatting>
  <conditionalFormatting sqref="B83">
    <cfRule type="expression" dxfId="2500" priority="67">
      <formula>$C$28="Yes"</formula>
    </cfRule>
  </conditionalFormatting>
  <conditionalFormatting sqref="B80:B82">
    <cfRule type="expression" dxfId="2499" priority="68">
      <formula>$C$28="Yes"</formula>
    </cfRule>
  </conditionalFormatting>
  <conditionalFormatting sqref="B94:B95">
    <cfRule type="expression" dxfId="2498" priority="66">
      <formula>$C$28="Yes"</formula>
    </cfRule>
  </conditionalFormatting>
  <conditionalFormatting sqref="B97">
    <cfRule type="expression" dxfId="2497" priority="64">
      <formula>$C$25="No"</formula>
    </cfRule>
    <cfRule type="expression" dxfId="2496" priority="65">
      <formula>$C$28="Yes"</formula>
    </cfRule>
  </conditionalFormatting>
  <conditionalFormatting sqref="B98:B99">
    <cfRule type="expression" dxfId="2495" priority="62">
      <formula>$C$25="No"</formula>
    </cfRule>
    <cfRule type="expression" dxfId="2494" priority="63">
      <formula>$C$28="Yes"</formula>
    </cfRule>
  </conditionalFormatting>
  <conditionalFormatting sqref="B100:B102">
    <cfRule type="expression" dxfId="2493" priority="60">
      <formula>$C$25="No"</formula>
    </cfRule>
    <cfRule type="expression" dxfId="2492" priority="61">
      <formula>$C$28="Yes"</formula>
    </cfRule>
  </conditionalFormatting>
  <conditionalFormatting sqref="B103:B105">
    <cfRule type="expression" dxfId="2491" priority="58">
      <formula>$C$25="No"</formula>
    </cfRule>
    <cfRule type="expression" dxfId="2490" priority="59">
      <formula>$C$28="Yes"</formula>
    </cfRule>
  </conditionalFormatting>
  <conditionalFormatting sqref="B106:B108">
    <cfRule type="expression" dxfId="2489" priority="56">
      <formula>$C$25="No"</formula>
    </cfRule>
    <cfRule type="expression" dxfId="2488" priority="57">
      <formula>$C$28="Yes"</formula>
    </cfRule>
  </conditionalFormatting>
  <conditionalFormatting sqref="B111">
    <cfRule type="expression" dxfId="2487" priority="53">
      <formula>$C$110="No"</formula>
    </cfRule>
  </conditionalFormatting>
  <conditionalFormatting sqref="B110:B111">
    <cfRule type="expression" dxfId="2486" priority="55">
      <formula>$C$28="Yes"</formula>
    </cfRule>
  </conditionalFormatting>
  <conditionalFormatting sqref="B113">
    <cfRule type="expression" dxfId="2485" priority="54">
      <formula>$C$28="Yes"</formula>
    </cfRule>
  </conditionalFormatting>
  <conditionalFormatting sqref="B112">
    <cfRule type="expression" dxfId="2484" priority="52">
      <formula>$C$28="Yes"</formula>
    </cfRule>
  </conditionalFormatting>
  <conditionalFormatting sqref="B114:B116">
    <cfRule type="expression" dxfId="2483" priority="51">
      <formula>$C$28="Yes"</formula>
    </cfRule>
  </conditionalFormatting>
  <conditionalFormatting sqref="B123:B124">
    <cfRule type="expression" dxfId="2482" priority="50">
      <formula>$C$28="Yes"</formula>
    </cfRule>
  </conditionalFormatting>
  <conditionalFormatting sqref="B117:B122">
    <cfRule type="expression" dxfId="2481" priority="49">
      <formula>$C$28="Yes"</formula>
    </cfRule>
  </conditionalFormatting>
  <conditionalFormatting sqref="B137">
    <cfRule type="expression" dxfId="2480" priority="47">
      <formula>$C$136="No"</formula>
    </cfRule>
  </conditionalFormatting>
  <conditionalFormatting sqref="B126">
    <cfRule type="expression" dxfId="2479" priority="45">
      <formula>$C$28="Yes"</formula>
    </cfRule>
  </conditionalFormatting>
  <conditionalFormatting sqref="B127:B130">
    <cfRule type="expression" dxfId="2478" priority="46">
      <formula>$C$28="Yes"</formula>
    </cfRule>
  </conditionalFormatting>
  <conditionalFormatting sqref="B131">
    <cfRule type="expression" dxfId="2477" priority="44">
      <formula>$C$28="Yes"</formula>
    </cfRule>
  </conditionalFormatting>
  <conditionalFormatting sqref="B132">
    <cfRule type="expression" dxfId="2476" priority="43">
      <formula>$C$28="Yes"</formula>
    </cfRule>
  </conditionalFormatting>
  <conditionalFormatting sqref="B134">
    <cfRule type="expression" dxfId="2475" priority="42">
      <formula>$C$28="Yes"</formula>
    </cfRule>
  </conditionalFormatting>
  <conditionalFormatting sqref="B133">
    <cfRule type="expression" dxfId="2474" priority="41">
      <formula>$C$28="Yes"</formula>
    </cfRule>
  </conditionalFormatting>
  <conditionalFormatting sqref="B155:B156">
    <cfRule type="expression" dxfId="2473" priority="39">
      <formula>$C$28="Yes"</formula>
    </cfRule>
  </conditionalFormatting>
  <conditionalFormatting sqref="B162:B163">
    <cfRule type="expression" dxfId="2472" priority="37">
      <formula>$C$161="No"</formula>
    </cfRule>
  </conditionalFormatting>
  <conditionalFormatting sqref="B167">
    <cfRule type="expression" dxfId="2471" priority="38">
      <formula>$C$166="No"</formula>
    </cfRule>
  </conditionalFormatting>
  <conditionalFormatting sqref="B163">
    <cfRule type="expression" dxfId="2470" priority="36">
      <formula>$C$162="No"</formula>
    </cfRule>
  </conditionalFormatting>
  <conditionalFormatting sqref="B158:B176">
    <cfRule type="expression" dxfId="2469" priority="35">
      <formula>$C$28="Yes"</formula>
    </cfRule>
  </conditionalFormatting>
  <conditionalFormatting sqref="B183">
    <cfRule type="expression" dxfId="2468" priority="34">
      <formula>$C$182="No"</formula>
    </cfRule>
  </conditionalFormatting>
  <conditionalFormatting sqref="B178:B190">
    <cfRule type="expression" dxfId="2467" priority="32">
      <formula>$C$26="No"</formula>
    </cfRule>
    <cfRule type="expression" dxfId="2466" priority="33">
      <formula>$C$28="Yes"</formula>
    </cfRule>
  </conditionalFormatting>
  <conditionalFormatting sqref="B202">
    <cfRule type="expression" dxfId="2465" priority="31">
      <formula>$C$201="No"</formula>
    </cfRule>
  </conditionalFormatting>
  <conditionalFormatting sqref="B202">
    <cfRule type="expression" dxfId="2464" priority="29">
      <formula>$C$200="No"</formula>
    </cfRule>
  </conditionalFormatting>
  <conditionalFormatting sqref="B192:B203">
    <cfRule type="expression" dxfId="2463" priority="30">
      <formula>$C$28="Yes"</formula>
    </cfRule>
  </conditionalFormatting>
  <conditionalFormatting sqref="B212">
    <cfRule type="expression" dxfId="2462" priority="26">
      <formula>$C$211="No"</formula>
    </cfRule>
  </conditionalFormatting>
  <conditionalFormatting sqref="B215">
    <cfRule type="expression" dxfId="2461" priority="27">
      <formula>$C$214="No"</formula>
    </cfRule>
  </conditionalFormatting>
  <conditionalFormatting sqref="B215">
    <cfRule type="expression" dxfId="2460" priority="28">
      <formula>$C$28="Yes"</formula>
    </cfRule>
  </conditionalFormatting>
  <conditionalFormatting sqref="B205:B214">
    <cfRule type="expression" dxfId="2459" priority="25">
      <formula>$C$28="Yes"</formula>
    </cfRule>
  </conditionalFormatting>
  <conditionalFormatting sqref="B205:B215">
    <cfRule type="expression" dxfId="2458" priority="24">
      <formula>$C$23="No"</formula>
    </cfRule>
  </conditionalFormatting>
  <conditionalFormatting sqref="B217:B221">
    <cfRule type="expression" dxfId="2457" priority="23">
      <formula>$C$28="Yes"</formula>
    </cfRule>
  </conditionalFormatting>
  <conditionalFormatting sqref="B223:B231">
    <cfRule type="expression" dxfId="2456" priority="22">
      <formula>$C$28="Yes"</formula>
    </cfRule>
  </conditionalFormatting>
  <conditionalFormatting sqref="B240">
    <cfRule type="expression" dxfId="2455" priority="21">
      <formula>$C$239="No"</formula>
    </cfRule>
  </conditionalFormatting>
  <conditionalFormatting sqref="B236:B242">
    <cfRule type="expression" dxfId="2454" priority="20">
      <formula>$C$28="Yes"</formula>
    </cfRule>
  </conditionalFormatting>
  <conditionalFormatting sqref="B235">
    <cfRule type="expression" dxfId="2453" priority="19">
      <formula>$C$46="Yes"</formula>
    </cfRule>
  </conditionalFormatting>
  <conditionalFormatting sqref="B232:B233">
    <cfRule type="expression" dxfId="2452" priority="18">
      <formula>$C$28="Yes"</formula>
    </cfRule>
  </conditionalFormatting>
  <conditionalFormatting sqref="B234">
    <cfRule type="expression" dxfId="2451" priority="17">
      <formula>$C$46="Yes"</formula>
    </cfRule>
  </conditionalFormatting>
  <conditionalFormatting sqref="B244:B245">
    <cfRule type="expression" dxfId="2450" priority="16">
      <formula>$C$28="Yes"</formula>
    </cfRule>
  </conditionalFormatting>
  <conditionalFormatting sqref="B247:B251">
    <cfRule type="expression" dxfId="2449" priority="15">
      <formula>$C$28="Yes"</formula>
    </cfRule>
  </conditionalFormatting>
  <conditionalFormatting sqref="B253:B256">
    <cfRule type="expression" dxfId="2448" priority="14">
      <formula>$C$28="Yes"</formula>
    </cfRule>
  </conditionalFormatting>
  <conditionalFormatting sqref="B259">
    <cfRule type="expression" dxfId="2447" priority="12">
      <formula>$C$258="No"</formula>
    </cfRule>
  </conditionalFormatting>
  <conditionalFormatting sqref="B262">
    <cfRule type="expression" dxfId="2446" priority="13">
      <formula>$C$261="No"</formula>
    </cfRule>
  </conditionalFormatting>
  <conditionalFormatting sqref="B259">
    <cfRule type="expression" dxfId="2445" priority="10">
      <formula>$C$256="No"</formula>
    </cfRule>
  </conditionalFormatting>
  <conditionalFormatting sqref="B258:B266">
    <cfRule type="expression" dxfId="2444" priority="11">
      <formula>$C$28="Yes"</formula>
    </cfRule>
  </conditionalFormatting>
  <conditionalFormatting sqref="B292">
    <cfRule type="expression" dxfId="2443" priority="8">
      <formula>$C$291="No"</formula>
    </cfRule>
  </conditionalFormatting>
  <conditionalFormatting sqref="B275:B276">
    <cfRule type="expression" dxfId="2442" priority="6">
      <formula>$C$274="No"</formula>
    </cfRule>
  </conditionalFormatting>
  <conditionalFormatting sqref="B276">
    <cfRule type="expression" dxfId="2441" priority="7">
      <formula>$C$275="No"</formula>
    </cfRule>
  </conditionalFormatting>
  <conditionalFormatting sqref="B268:B298">
    <cfRule type="expression" dxfId="2440" priority="4">
      <formula>$C$22="No"</formula>
    </cfRule>
    <cfRule type="expression" dxfId="2439" priority="9">
      <formula>$C$28="Yes"</formula>
    </cfRule>
  </conditionalFormatting>
  <conditionalFormatting sqref="B295">
    <cfRule type="expression" dxfId="2438" priority="5">
      <formula>$C$294="No"</formula>
    </cfRule>
  </conditionalFormatting>
  <conditionalFormatting sqref="B300:B311">
    <cfRule type="expression" dxfId="2437" priority="2">
      <formula>$C$27="No"</formula>
    </cfRule>
    <cfRule type="expression" dxfId="2436" priority="3">
      <formula>$C$28="Yes"</formula>
    </cfRule>
  </conditionalFormatting>
  <conditionalFormatting sqref="I242">
    <cfRule type="expression" dxfId="2435" priority="1">
      <formula>$C$237="No"</formula>
    </cfRule>
  </conditionalFormatting>
  <pageMargins left="0.75" right="0.75" top="1" bottom="1" header="0.5" footer="0.5"/>
  <pageSetup orientation="landscape" r:id="rId1"/>
  <headerFooter>
    <oddFooter>&amp;L&amp;"Helvetica,Regular"&amp;12&amp;K000000	&amp;P</oddFooter>
  </headerFooter>
  <ignoredErrors>
    <ignoredError sqref="E131 E194 E55 E58 E100 E84:E86 E56:E57 E87 E88:E94"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H303"/>
  <sheetViews>
    <sheetView topLeftCell="A7" workbookViewId="0">
      <selection activeCell="A16" sqref="A16"/>
    </sheetView>
  </sheetViews>
  <sheetFormatPr defaultColWidth="8.5" defaultRowHeight="15" x14ac:dyDescent="0.2"/>
  <cols>
    <col min="1" max="1" width="20.09765625" style="144" customWidth="1"/>
    <col min="2" max="2" width="14.5" style="144" customWidth="1"/>
    <col min="3" max="3" width="26" style="144" customWidth="1"/>
    <col min="4" max="4" width="11.5" style="144" customWidth="1"/>
    <col min="5" max="5" width="14.59765625" style="144" customWidth="1"/>
    <col min="6" max="6" width="16.59765625" style="144" customWidth="1"/>
    <col min="7" max="7" width="11.19921875" style="144" customWidth="1"/>
    <col min="8" max="8" width="21.69921875" style="144" customWidth="1"/>
    <col min="9" max="16384" width="8.5" style="144"/>
  </cols>
  <sheetData>
    <row r="1" spans="1:8" ht="36" customHeight="1" x14ac:dyDescent="0.2">
      <c r="A1" s="282" t="s">
        <v>2637</v>
      </c>
      <c r="B1" s="282"/>
      <c r="C1" s="282"/>
      <c r="D1" s="282"/>
      <c r="E1" s="282"/>
      <c r="F1" s="282"/>
      <c r="G1" s="283"/>
      <c r="H1" s="212" t="str">
        <f>HECVAT!E1</f>
        <v>Version 2.04</v>
      </c>
    </row>
    <row r="2" spans="1:8" ht="26.1" customHeight="1" x14ac:dyDescent="0.2">
      <c r="A2" s="260" t="s">
        <v>97</v>
      </c>
      <c r="B2" s="260"/>
      <c r="C2" s="260"/>
      <c r="D2" s="260"/>
      <c r="E2" s="260"/>
      <c r="F2" s="260"/>
      <c r="G2" s="260"/>
      <c r="H2" s="260"/>
    </row>
    <row r="3" spans="1:8" s="238" customFormat="1" ht="26.1" customHeight="1" x14ac:dyDescent="0.2">
      <c r="A3" s="287" t="s">
        <v>11</v>
      </c>
      <c r="B3" s="288"/>
      <c r="C3" s="288"/>
      <c r="D3" s="288"/>
      <c r="E3" s="288"/>
      <c r="F3" s="288"/>
      <c r="G3" s="288"/>
      <c r="H3" s="288"/>
    </row>
    <row r="4" spans="1:8" s="238" customFormat="1" ht="40.5" customHeight="1" x14ac:dyDescent="0.2">
      <c r="A4" s="289" t="s">
        <v>2723</v>
      </c>
      <c r="B4" s="290"/>
      <c r="C4" s="290"/>
      <c r="D4" s="290"/>
      <c r="E4" s="290"/>
      <c r="F4" s="290"/>
      <c r="G4" s="290"/>
      <c r="H4" s="290"/>
    </row>
    <row r="5" spans="1:8" s="18" customFormat="1" ht="48" customHeight="1" x14ac:dyDescent="0.2">
      <c r="A5" s="165" t="s">
        <v>3</v>
      </c>
      <c r="B5" s="284" t="str">
        <f>HECVAT!C7</f>
        <v>Vendor Name</v>
      </c>
      <c r="C5" s="284"/>
      <c r="D5" s="194"/>
      <c r="E5" s="165" t="s">
        <v>4</v>
      </c>
      <c r="F5" s="277" t="str">
        <f>HECVAT!C8</f>
        <v>Product Name and Version Information</v>
      </c>
      <c r="G5" s="277"/>
      <c r="H5" s="277"/>
    </row>
    <row r="6" spans="1:8" s="18" customFormat="1" ht="48" customHeight="1" x14ac:dyDescent="0.2">
      <c r="A6" s="165" t="s">
        <v>7</v>
      </c>
      <c r="B6" s="249" t="str">
        <f>HECVAT!C11</f>
        <v>Vendor Contact Name</v>
      </c>
      <c r="C6" s="249"/>
      <c r="D6" s="195"/>
      <c r="E6" s="165" t="s">
        <v>5</v>
      </c>
      <c r="F6" s="277" t="str">
        <f>HECVAT!C9</f>
        <v>Brief Description of the Product</v>
      </c>
      <c r="G6" s="277"/>
      <c r="H6" s="277"/>
    </row>
    <row r="7" spans="1:8" s="18" customFormat="1" ht="48" customHeight="1" x14ac:dyDescent="0.2">
      <c r="A7" s="165" t="s">
        <v>8</v>
      </c>
      <c r="B7" s="285" t="str">
        <f>HECVAT!C12</f>
        <v>Vendor Contact Title</v>
      </c>
      <c r="C7" s="286"/>
      <c r="D7" s="196"/>
      <c r="E7" s="165" t="s">
        <v>2076</v>
      </c>
      <c r="F7" s="277" t="s">
        <v>2077</v>
      </c>
      <c r="G7" s="277"/>
      <c r="H7" s="277"/>
    </row>
    <row r="8" spans="1:8" s="18" customFormat="1" ht="48" customHeight="1" x14ac:dyDescent="0.2">
      <c r="A8" s="165" t="s">
        <v>2638</v>
      </c>
      <c r="B8" s="249" t="str">
        <f>HECVAT!C13</f>
        <v>Vendor Contact E-mail Address</v>
      </c>
      <c r="C8" s="249"/>
      <c r="D8" s="197"/>
      <c r="E8" s="165" t="s">
        <v>2078</v>
      </c>
      <c r="F8" s="278" t="str">
        <f>HECVAT!C3</f>
        <v>mm/dd/yyyy</v>
      </c>
      <c r="G8" s="278"/>
      <c r="H8" s="278"/>
    </row>
    <row r="9" spans="1:8" s="18" customFormat="1" ht="24.75" customHeight="1" x14ac:dyDescent="0.2">
      <c r="A9" s="165"/>
      <c r="B9" s="237"/>
      <c r="C9" s="237"/>
      <c r="D9" s="239"/>
      <c r="E9" s="240"/>
      <c r="F9" s="241"/>
      <c r="G9" s="241"/>
      <c r="H9" s="242"/>
    </row>
    <row r="10" spans="1:8" s="18" customFormat="1" ht="48" customHeight="1" x14ac:dyDescent="0.2">
      <c r="A10" s="181" t="s">
        <v>2642</v>
      </c>
      <c r="B10" s="180"/>
      <c r="C10" s="136" t="str">
        <f>IF(B10="","&lt;- Select your security framework.","")</f>
        <v>&lt;- Select your security framework.</v>
      </c>
      <c r="D10" s="279"/>
      <c r="E10" s="280"/>
      <c r="F10" s="280"/>
      <c r="G10" s="280"/>
      <c r="H10" s="281"/>
    </row>
    <row r="11" spans="1:8" s="164" customFormat="1" ht="24" customHeight="1" x14ac:dyDescent="0.2">
      <c r="A11" s="294"/>
      <c r="B11" s="294"/>
      <c r="C11" s="294"/>
    </row>
    <row r="12" spans="1:8" ht="24" customHeight="1" x14ac:dyDescent="0.2">
      <c r="C12" s="171" t="s">
        <v>2079</v>
      </c>
      <c r="D12" s="171" t="s">
        <v>2071</v>
      </c>
      <c r="E12" s="171" t="s">
        <v>2070</v>
      </c>
      <c r="F12" s="171" t="s">
        <v>2072</v>
      </c>
    </row>
    <row r="13" spans="1:8" x14ac:dyDescent="0.2">
      <c r="C13" s="167" t="str">
        <f>Questions!T2</f>
        <v>Documentation</v>
      </c>
      <c r="D13" s="168">
        <f>Questions!X2</f>
        <v>105</v>
      </c>
      <c r="E13" s="168">
        <f>Questions!W2</f>
        <v>0</v>
      </c>
      <c r="F13" s="169">
        <f>Questions!Y2</f>
        <v>0</v>
      </c>
    </row>
    <row r="14" spans="1:8" x14ac:dyDescent="0.2">
      <c r="C14" s="167" t="str">
        <f>Questions!T3</f>
        <v>Application Security</v>
      </c>
      <c r="D14" s="168">
        <f>Questions!X3</f>
        <v>375</v>
      </c>
      <c r="E14" s="168">
        <f>Questions!W3</f>
        <v>0</v>
      </c>
      <c r="F14" s="169">
        <f>Questions!Y3</f>
        <v>0</v>
      </c>
    </row>
    <row r="15" spans="1:8" ht="28.5" x14ac:dyDescent="0.2">
      <c r="C15" s="167" t="str">
        <f>Questions!T4</f>
        <v>Authentication, Authorization, and Accounting</v>
      </c>
      <c r="D15" s="168">
        <f>Questions!X4</f>
        <v>365</v>
      </c>
      <c r="E15" s="168">
        <f>Questions!W4</f>
        <v>0</v>
      </c>
      <c r="F15" s="169">
        <f>Questions!Y4</f>
        <v>0</v>
      </c>
    </row>
    <row r="16" spans="1:8" x14ac:dyDescent="0.2">
      <c r="C16" s="167" t="str">
        <f>Questions!T5</f>
        <v>Change Management</v>
      </c>
      <c r="D16" s="168">
        <f>Questions!X5</f>
        <v>275</v>
      </c>
      <c r="E16" s="168">
        <f>Questions!W5</f>
        <v>0</v>
      </c>
      <c r="F16" s="169">
        <f>Questions!Y5</f>
        <v>0</v>
      </c>
    </row>
    <row r="17" spans="3:6" x14ac:dyDescent="0.2">
      <c r="C17" s="167" t="str">
        <f>Questions!T6</f>
        <v>Company</v>
      </c>
      <c r="D17" s="168">
        <f>Questions!X6</f>
        <v>120</v>
      </c>
      <c r="E17" s="168">
        <f>Questions!W6</f>
        <v>0</v>
      </c>
      <c r="F17" s="169">
        <f>Questions!Y6</f>
        <v>0</v>
      </c>
    </row>
    <row r="18" spans="3:6" x14ac:dyDescent="0.2">
      <c r="C18" s="167" t="str">
        <f>Questions!T7</f>
        <v>Data</v>
      </c>
      <c r="D18" s="168">
        <f>Questions!X7</f>
        <v>550</v>
      </c>
      <c r="E18" s="168">
        <f>Questions!W7</f>
        <v>0</v>
      </c>
      <c r="F18" s="169">
        <f>Questions!Y7</f>
        <v>0</v>
      </c>
    </row>
    <row r="19" spans="3:6" x14ac:dyDescent="0.2">
      <c r="C19" s="167" t="str">
        <f>Questions!T8</f>
        <v>Database</v>
      </c>
      <c r="D19" s="168">
        <f>Questions!X8</f>
        <v>50</v>
      </c>
      <c r="E19" s="168">
        <f>Questions!W8</f>
        <v>0</v>
      </c>
      <c r="F19" s="169">
        <f>Questions!Y8</f>
        <v>0</v>
      </c>
    </row>
    <row r="20" spans="3:6" x14ac:dyDescent="0.2">
      <c r="C20" s="167" t="str">
        <f>Questions!T9</f>
        <v>Datacenter</v>
      </c>
      <c r="D20" s="168">
        <f>Questions!X9</f>
        <v>290</v>
      </c>
      <c r="E20" s="168">
        <f>Questions!W9</f>
        <v>0</v>
      </c>
      <c r="F20" s="169">
        <f>Questions!Y9</f>
        <v>0</v>
      </c>
    </row>
    <row r="21" spans="3:6" ht="28.5" x14ac:dyDescent="0.2">
      <c r="C21" s="167" t="str">
        <f>Questions!T10</f>
        <v>Firewalls, IDS, IPS, and Networking</v>
      </c>
      <c r="D21" s="168">
        <f>Questions!X10</f>
        <v>245</v>
      </c>
      <c r="E21" s="168">
        <f>Questions!W10</f>
        <v>0</v>
      </c>
      <c r="F21" s="169">
        <f>Questions!Y10</f>
        <v>0</v>
      </c>
    </row>
    <row r="22" spans="3:6" x14ac:dyDescent="0.2">
      <c r="C22" s="167" t="str">
        <f>Questions!T11</f>
        <v>Physical Security</v>
      </c>
      <c r="D22" s="168">
        <f>Questions!X11</f>
        <v>100</v>
      </c>
      <c r="E22" s="168">
        <f>Questions!W11</f>
        <v>0</v>
      </c>
      <c r="F22" s="169">
        <f>Questions!Y11</f>
        <v>0</v>
      </c>
    </row>
    <row r="23" spans="3:6" ht="28.5" x14ac:dyDescent="0.2">
      <c r="C23" s="167" t="str">
        <f>Questions!T12</f>
        <v>Policies, Procedures, and Processes</v>
      </c>
      <c r="D23" s="168">
        <f>Questions!X12</f>
        <v>420</v>
      </c>
      <c r="E23" s="168">
        <f>Questions!W12</f>
        <v>0</v>
      </c>
      <c r="F23" s="169">
        <f>Questions!Y12</f>
        <v>0</v>
      </c>
    </row>
    <row r="24" spans="3:6" ht="28.5" x14ac:dyDescent="0.2">
      <c r="C24" s="167" t="str">
        <f>Questions!T13</f>
        <v>Systems Management &amp; Configuration</v>
      </c>
      <c r="D24" s="168">
        <f>Questions!X13</f>
        <v>70</v>
      </c>
      <c r="E24" s="168">
        <f>Questions!W13</f>
        <v>0</v>
      </c>
      <c r="F24" s="169">
        <f>Questions!Y13</f>
        <v>0</v>
      </c>
    </row>
    <row r="25" spans="3:6" x14ac:dyDescent="0.2">
      <c r="C25" s="167" t="str">
        <f>Questions!T14</f>
        <v>Vulnerability Scanning</v>
      </c>
      <c r="D25" s="168">
        <f>Questions!X14</f>
        <v>170</v>
      </c>
      <c r="E25" s="168">
        <f>Questions!W14</f>
        <v>0</v>
      </c>
      <c r="F25" s="169">
        <f>Questions!Y14</f>
        <v>0</v>
      </c>
    </row>
    <row r="26" spans="3:6" x14ac:dyDescent="0.2">
      <c r="C26" s="167" t="str">
        <f>Questions!T15</f>
        <v/>
      </c>
      <c r="D26" s="168" t="str">
        <f>Questions!X15</f>
        <v/>
      </c>
      <c r="E26" s="168" t="str">
        <f>Questions!W15</f>
        <v/>
      </c>
      <c r="F26" s="169" t="str">
        <f>Questions!Y15</f>
        <v/>
      </c>
    </row>
    <row r="27" spans="3:6" x14ac:dyDescent="0.2">
      <c r="C27" s="167" t="str">
        <f>Questions!T16</f>
        <v/>
      </c>
      <c r="D27" s="168" t="str">
        <f>Questions!X16</f>
        <v/>
      </c>
      <c r="E27" s="168" t="str">
        <f>Questions!W16</f>
        <v/>
      </c>
      <c r="F27" s="169" t="str">
        <f>Questions!Y16</f>
        <v/>
      </c>
    </row>
    <row r="28" spans="3:6" x14ac:dyDescent="0.2">
      <c r="C28" s="167" t="str">
        <f>Questions!T17</f>
        <v/>
      </c>
      <c r="D28" s="168" t="str">
        <f>Questions!X17</f>
        <v/>
      </c>
      <c r="E28" s="168" t="str">
        <f>Questions!W17</f>
        <v/>
      </c>
      <c r="F28" s="169" t="str">
        <f>Questions!Y17</f>
        <v/>
      </c>
    </row>
    <row r="29" spans="3:6" x14ac:dyDescent="0.2">
      <c r="C29" s="167" t="str">
        <f>Questions!T18</f>
        <v/>
      </c>
      <c r="D29" s="168" t="str">
        <f>Questions!X18</f>
        <v/>
      </c>
      <c r="E29" s="168" t="str">
        <f>Questions!W18</f>
        <v/>
      </c>
      <c r="F29" s="169" t="str">
        <f>Questions!Y18</f>
        <v/>
      </c>
    </row>
    <row r="30" spans="3:6" x14ac:dyDescent="0.2">
      <c r="C30" s="167" t="str">
        <f>Questions!T19</f>
        <v/>
      </c>
      <c r="D30" s="168" t="str">
        <f>Questions!X19</f>
        <v/>
      </c>
      <c r="E30" s="168" t="str">
        <f>Questions!W19</f>
        <v/>
      </c>
      <c r="F30" s="169" t="str">
        <f>Questions!Y19</f>
        <v/>
      </c>
    </row>
    <row r="31" spans="3:6" x14ac:dyDescent="0.2">
      <c r="C31" s="167" t="str">
        <f>Questions!T20</f>
        <v/>
      </c>
      <c r="D31" s="168" t="str">
        <f>Questions!X20</f>
        <v/>
      </c>
      <c r="E31" s="168" t="str">
        <f>Questions!W20</f>
        <v/>
      </c>
      <c r="F31" s="169" t="str">
        <f>Questions!Y20</f>
        <v/>
      </c>
    </row>
    <row r="32" spans="3:6" x14ac:dyDescent="0.2">
      <c r="C32" s="167" t="str">
        <f>Questions!T21</f>
        <v/>
      </c>
      <c r="D32" s="168" t="str">
        <f>Questions!X21</f>
        <v/>
      </c>
      <c r="E32" s="168" t="str">
        <f>Questions!W21</f>
        <v/>
      </c>
      <c r="F32" s="169"/>
    </row>
    <row r="33" spans="1:8" s="19" customFormat="1" ht="36" customHeight="1" x14ac:dyDescent="0.2">
      <c r="C33" s="171" t="s">
        <v>2121</v>
      </c>
      <c r="D33" s="171" t="str">
        <f>Questions!X23</f>
        <v>F</v>
      </c>
      <c r="E33" s="172">
        <f>Questions!Y23</f>
        <v>0</v>
      </c>
      <c r="F33" s="173">
        <f>Questions!W23</f>
        <v>0</v>
      </c>
    </row>
    <row r="36" spans="1:8" s="159" customFormat="1" ht="36" customHeight="1" x14ac:dyDescent="0.2">
      <c r="A36" s="293" t="s">
        <v>2081</v>
      </c>
      <c r="B36" s="293"/>
      <c r="C36" s="293"/>
      <c r="D36" s="293"/>
      <c r="E36" s="293"/>
      <c r="F36" s="293"/>
      <c r="G36" s="293"/>
    </row>
    <row r="37" spans="1:8" s="142" customFormat="1" ht="36" customHeight="1" x14ac:dyDescent="0.2">
      <c r="A37" s="147" t="s">
        <v>2043</v>
      </c>
      <c r="B37" s="295" t="s">
        <v>2044</v>
      </c>
      <c r="C37" s="295"/>
      <c r="D37" s="295" t="s">
        <v>2082</v>
      </c>
      <c r="E37" s="295"/>
      <c r="F37" s="295"/>
      <c r="G37" s="147" t="s">
        <v>2083</v>
      </c>
    </row>
    <row r="38" spans="1:8" ht="48" customHeight="1" x14ac:dyDescent="0.2">
      <c r="A38" s="144" t="str">
        <f>HECVAT!A39</f>
        <v>COMP-01</v>
      </c>
      <c r="B38" s="291" t="str">
        <f>HECVAT!B39</f>
        <v>Describe your organization’s business background and ownership structure, including all parent and subsidiary relationships.</v>
      </c>
      <c r="C38" s="291"/>
      <c r="D38" s="292">
        <f>HECVAT!C39</f>
        <v>0</v>
      </c>
      <c r="E38" s="292"/>
      <c r="F38" s="292"/>
      <c r="H38" s="160" t="str">
        <f t="shared" ref="H38:H40" si="0">IF(G38="","Please rate the vendor's answer","")</f>
        <v>Please rate the vendor's answer</v>
      </c>
    </row>
    <row r="39" spans="1:8" ht="48" customHeight="1" x14ac:dyDescent="0.2">
      <c r="A39" s="144" t="str">
        <f>HECVAT!A40</f>
        <v>COMP-02</v>
      </c>
      <c r="B39" s="291" t="str">
        <f>HECVAT!B40</f>
        <v>Describe how long your organization has conducted business in this product area.</v>
      </c>
      <c r="C39" s="291"/>
      <c r="D39" s="292">
        <f>HECVAT!C40</f>
        <v>0</v>
      </c>
      <c r="E39" s="292"/>
      <c r="F39" s="292"/>
      <c r="H39" s="160" t="str">
        <f t="shared" si="0"/>
        <v>Please rate the vendor's answer</v>
      </c>
    </row>
    <row r="40" spans="1:8" ht="48" customHeight="1" x14ac:dyDescent="0.2">
      <c r="A40" s="144" t="str">
        <f>HECVAT!A45</f>
        <v>COMP-07</v>
      </c>
      <c r="B40" s="291" t="str">
        <f>HECVAT!B45</f>
        <v>Use this area to share information about your environment that will assist those who are assessing your company data security program.</v>
      </c>
      <c r="C40" s="291"/>
      <c r="D40" s="292">
        <f>HECVAT!C45</f>
        <v>0</v>
      </c>
      <c r="E40" s="292"/>
      <c r="F40" s="292"/>
      <c r="H40" s="160" t="str">
        <f t="shared" si="0"/>
        <v>Please rate the vendor's answer</v>
      </c>
    </row>
    <row r="41" spans="1:8" ht="48" customHeight="1" x14ac:dyDescent="0.2">
      <c r="A41" s="144" t="str">
        <f>HECVAT!A68</f>
        <v>APPL-07</v>
      </c>
      <c r="B41" s="291" t="str">
        <f>HECVAT!B68</f>
        <v>What operating system(s) is/are leveraged by the system(s)/application(s) that will have access to institution's data?</v>
      </c>
      <c r="C41" s="291"/>
      <c r="D41" s="292">
        <f>HECVAT!C68</f>
        <v>0</v>
      </c>
      <c r="E41" s="292"/>
      <c r="F41" s="292"/>
      <c r="H41" s="160" t="str">
        <f t="shared" ref="H41:H65" si="1">IF(G41="","Please rate the vendor's answer","")</f>
        <v>Please rate the vendor's answer</v>
      </c>
    </row>
    <row r="42" spans="1:8" ht="48" customHeight="1" x14ac:dyDescent="0.2">
      <c r="A42" s="144" t="str">
        <f>HECVAT!A70</f>
        <v>APPL-09</v>
      </c>
      <c r="B42" s="291" t="str">
        <f>HECVAT!B70</f>
        <v xml:space="preserve">Describe or provide a reference to additional software/products necessary to implement a functional system on either the backend or user-interface side of the system. </v>
      </c>
      <c r="C42" s="291"/>
      <c r="D42" s="292">
        <f>HECVAT!C70</f>
        <v>0</v>
      </c>
      <c r="E42" s="292"/>
      <c r="F42" s="292"/>
      <c r="H42" s="160" t="str">
        <f t="shared" si="1"/>
        <v>Please rate the vendor's answer</v>
      </c>
    </row>
    <row r="43" spans="1:8" ht="48" customHeight="1" x14ac:dyDescent="0.2">
      <c r="A43" s="144" t="str">
        <f>HECVAT!A71</f>
        <v>APPL-10</v>
      </c>
      <c r="B43" s="291" t="str">
        <f>HECVAT!B71</f>
        <v xml:space="preserve">Describe or provide a reference to the overall system and/or application architecture(s), including appropriate diagrams. Include a full description of the data communications architecture for all components of the system. </v>
      </c>
      <c r="C43" s="291"/>
      <c r="D43" s="292">
        <f>HECVAT!C71</f>
        <v>0</v>
      </c>
      <c r="E43" s="292"/>
      <c r="F43" s="292"/>
      <c r="H43" s="160" t="str">
        <f t="shared" si="1"/>
        <v>Please rate the vendor's answer</v>
      </c>
    </row>
    <row r="44" spans="1:8" ht="48" customHeight="1" x14ac:dyDescent="0.2">
      <c r="A44" s="144" t="str">
        <f>HECVAT!A73</f>
        <v>APPL-12</v>
      </c>
      <c r="B44" s="291" t="str">
        <f>HECVAT!B73</f>
        <v xml:space="preserve">Describe or provide a reference to all web-enabled features and functionality of the system (i.e. accessed via a web-based interface). </v>
      </c>
      <c r="C44" s="291"/>
      <c r="D44" s="292">
        <f>HECVAT!C73</f>
        <v>0</v>
      </c>
      <c r="E44" s="292"/>
      <c r="F44" s="292"/>
      <c r="H44" s="160" t="str">
        <f t="shared" si="1"/>
        <v>Please rate the vendor's answer</v>
      </c>
    </row>
    <row r="45" spans="1:8" ht="48" customHeight="1" x14ac:dyDescent="0.2">
      <c r="A45" s="144" t="str">
        <f>HECVAT!A74</f>
        <v>APPL-13</v>
      </c>
      <c r="B45" s="291" t="str">
        <f>HECVAT!B74</f>
        <v>Are there any OS and/or web-browser combinations that are not currently supported?</v>
      </c>
      <c r="C45" s="291"/>
      <c r="D45" s="292">
        <f>HECVAT!C74</f>
        <v>0</v>
      </c>
      <c r="E45" s="292"/>
      <c r="F45" s="292"/>
      <c r="H45" s="160" t="str">
        <f t="shared" si="1"/>
        <v>Please rate the vendor's answer</v>
      </c>
    </row>
    <row r="46" spans="1:8" ht="48" customHeight="1" x14ac:dyDescent="0.2">
      <c r="A46" s="144" t="str">
        <f>HECVAT!A76</f>
        <v>APPL-15</v>
      </c>
      <c r="B46" s="291" t="str">
        <f>HECVAT!B76</f>
        <v>Describe or provide a reference to the facilities available in the system to provide separation of duties between security administration and system administration functions.</v>
      </c>
      <c r="C46" s="291"/>
      <c r="D46" s="292">
        <f>HECVAT!C76</f>
        <v>0</v>
      </c>
      <c r="E46" s="292"/>
      <c r="F46" s="292"/>
      <c r="H46" s="160" t="str">
        <f t="shared" si="1"/>
        <v>Please rate the vendor's answer</v>
      </c>
    </row>
    <row r="47" spans="1:8" ht="48" customHeight="1" x14ac:dyDescent="0.2">
      <c r="A47" s="144" t="str">
        <f>HECVAT!A77</f>
        <v>APPL-16</v>
      </c>
      <c r="B47" s="291" t="str">
        <f>HECVAT!B77</f>
        <v>Describe or provide a reference that details how administrator access is handled (e.g. provisioning, principle of least privilege, deprovisioning, etc.)</v>
      </c>
      <c r="C47" s="291"/>
      <c r="D47" s="292">
        <f>HECVAT!C77</f>
        <v>0</v>
      </c>
      <c r="E47" s="292"/>
      <c r="F47" s="292"/>
      <c r="H47" s="160" t="str">
        <f t="shared" si="1"/>
        <v>Please rate the vendor's answer</v>
      </c>
    </row>
    <row r="48" spans="1:8" ht="48" customHeight="1" x14ac:dyDescent="0.2">
      <c r="A48" s="144" t="str">
        <f>HECVAT!A78</f>
        <v>APPL-17</v>
      </c>
      <c r="B48" s="291" t="str">
        <f>HECVAT!B78</f>
        <v>Describe or provide references explaining how tertiary services are redundant (i.e. DNS, ISP, etc…).</v>
      </c>
      <c r="C48" s="291"/>
      <c r="D48" s="292">
        <f>HECVAT!C78</f>
        <v>0</v>
      </c>
      <c r="E48" s="292"/>
      <c r="F48" s="292"/>
      <c r="H48" s="160" t="str">
        <f t="shared" si="1"/>
        <v>Please rate the vendor's answer</v>
      </c>
    </row>
    <row r="49" spans="1:8" ht="48" customHeight="1" x14ac:dyDescent="0.2">
      <c r="A49" s="144" t="str">
        <f>HECVAT!A95</f>
        <v>AAAI-16</v>
      </c>
      <c r="B49" s="291" t="str">
        <f>HECVAT!B95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291"/>
      <c r="D49" s="292">
        <f>HECVAT!C95</f>
        <v>0</v>
      </c>
      <c r="E49" s="292"/>
      <c r="F49" s="292"/>
      <c r="H49" s="160" t="str">
        <f t="shared" si="1"/>
        <v>Please rate the vendor's answer</v>
      </c>
    </row>
    <row r="50" spans="1:8" ht="48" customHeight="1" x14ac:dyDescent="0.2">
      <c r="A50" s="144" t="str">
        <f>HECVAT!A112</f>
        <v>CHNG-02</v>
      </c>
      <c r="B50" s="291" t="str">
        <f>HECVAT!B112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291"/>
      <c r="D50" s="292">
        <f>HECVAT!C112</f>
        <v>0</v>
      </c>
      <c r="E50" s="292"/>
      <c r="F50" s="292"/>
      <c r="H50" s="160" t="str">
        <f t="shared" si="1"/>
        <v>Please rate the vendor's answer</v>
      </c>
    </row>
    <row r="51" spans="1:8" ht="48" customHeight="1" x14ac:dyDescent="0.2">
      <c r="A51" s="144" t="str">
        <f>HECVAT!A115</f>
        <v>CHNG-05</v>
      </c>
      <c r="B51" s="291" t="str">
        <f>HECVAT!B115</f>
        <v>Describe or provide a reference to your solution support strategy in relation to maintaining software currency. (i.e. how many concurrent versions are you willing to run and support?)</v>
      </c>
      <c r="C51" s="291"/>
      <c r="D51" s="292">
        <f>HECVAT!C115</f>
        <v>0</v>
      </c>
      <c r="E51" s="292"/>
      <c r="F51" s="292"/>
      <c r="H51" s="160" t="str">
        <f t="shared" si="1"/>
        <v>Please rate the vendor's answer</v>
      </c>
    </row>
    <row r="52" spans="1:8" ht="48" customHeight="1" x14ac:dyDescent="0.2">
      <c r="A52" s="144" t="str">
        <f>HECVAT!A116</f>
        <v>CHNG-06</v>
      </c>
      <c r="B52" s="291" t="str">
        <f>HECVAT!B116</f>
        <v>Identify the most current version of the software. Detail the percentage of live customers that are utilizing the proposed version of the software as well as each version of the software currently in use.</v>
      </c>
      <c r="C52" s="291"/>
      <c r="D52" s="292">
        <f>HECVAT!C116</f>
        <v>0</v>
      </c>
      <c r="E52" s="292"/>
      <c r="F52" s="292"/>
      <c r="H52" s="160" t="str">
        <f t="shared" si="1"/>
        <v>Please rate the vendor's answer</v>
      </c>
    </row>
    <row r="53" spans="1:8" ht="48" customHeight="1" x14ac:dyDescent="0.2">
      <c r="A53" s="144" t="str">
        <f>HECVAT!A117</f>
        <v>CHNG-07</v>
      </c>
      <c r="B53" s="291" t="str">
        <f>HECVAT!B117</f>
        <v>Does the system support client customizations from one release to another?</v>
      </c>
      <c r="C53" s="291"/>
      <c r="D53" s="292">
        <f>HECVAT!C117</f>
        <v>0</v>
      </c>
      <c r="E53" s="292"/>
      <c r="F53" s="292"/>
      <c r="H53" s="160" t="str">
        <f t="shared" si="1"/>
        <v>Please rate the vendor's answer</v>
      </c>
    </row>
    <row r="54" spans="1:8" ht="48" customHeight="1" x14ac:dyDescent="0.2">
      <c r="A54" s="144" t="str">
        <f>HECVAT!A133</f>
        <v>DATA-07</v>
      </c>
      <c r="B54" s="291" t="str">
        <f>HECVAT!B133</f>
        <v>List all locations (i.e. city + datacenter name) where the institution's data will be stored?</v>
      </c>
      <c r="C54" s="291"/>
      <c r="D54" s="292">
        <f>HECVAT!C133</f>
        <v>0</v>
      </c>
      <c r="E54" s="292"/>
      <c r="F54" s="292"/>
      <c r="H54" s="160" t="str">
        <f t="shared" si="1"/>
        <v>Please rate the vendor's answer</v>
      </c>
    </row>
    <row r="55" spans="1:8" ht="48" customHeight="1" x14ac:dyDescent="0.2">
      <c r="A55" s="144" t="str">
        <f>HECVAT!A140</f>
        <v>DATA-14</v>
      </c>
      <c r="B55" s="291" t="str">
        <f>HECVAT!B140</f>
        <v xml:space="preserve">Describe or provide a reference to the backup processes for the servers on which the service and/or data resides. </v>
      </c>
      <c r="C55" s="291"/>
      <c r="D55" s="292">
        <f>HECVAT!C140</f>
        <v>0</v>
      </c>
      <c r="E55" s="292"/>
      <c r="F55" s="292"/>
      <c r="H55" s="160" t="str">
        <f t="shared" si="1"/>
        <v>Please rate the vendor's answer</v>
      </c>
    </row>
    <row r="56" spans="1:8" ht="48" customHeight="1" x14ac:dyDescent="0.2">
      <c r="A56" s="144" t="str">
        <f>HECVAT!A142</f>
        <v>DATA-16</v>
      </c>
      <c r="B56" s="291" t="str">
        <f>HECVAT!B142</f>
        <v>How long are data backups stored?</v>
      </c>
      <c r="C56" s="291"/>
      <c r="D56" s="292">
        <f>HECVAT!C142</f>
        <v>0</v>
      </c>
      <c r="E56" s="292"/>
      <c r="F56" s="292"/>
      <c r="H56" s="160" t="str">
        <f t="shared" si="1"/>
        <v>Please rate the vendor's answer</v>
      </c>
    </row>
    <row r="57" spans="1:8" ht="48" customHeight="1" x14ac:dyDescent="0.2">
      <c r="A57" s="144" t="str">
        <f>HECVAT!A165</f>
        <v>DCTR-07</v>
      </c>
      <c r="B57" s="291" t="str">
        <f>HECVAT!B165</f>
        <v>Select the option that best describes the network segment that servers are connected to.</v>
      </c>
      <c r="C57" s="291"/>
      <c r="D57" s="292">
        <f>HECVAT!C165</f>
        <v>0</v>
      </c>
      <c r="E57" s="292"/>
      <c r="F57" s="292"/>
      <c r="H57" s="160" t="str">
        <f t="shared" si="1"/>
        <v>Please rate the vendor's answer</v>
      </c>
    </row>
    <row r="58" spans="1:8" ht="48" customHeight="1" x14ac:dyDescent="0.2">
      <c r="A58" s="144" t="str">
        <f>HECVAT!A168</f>
        <v>DCTR-10</v>
      </c>
      <c r="B58" s="291" t="str">
        <f>HECVAT!B168</f>
        <v xml:space="preserve">List all datacenters and the cities, states (provinces), and countries where the Institution's data will be stored (including within the Institution's Data Zone).   </v>
      </c>
      <c r="C58" s="291"/>
      <c r="D58" s="292">
        <f>HECVAT!C168</f>
        <v>0</v>
      </c>
      <c r="E58" s="292"/>
      <c r="F58" s="292"/>
      <c r="H58" s="160" t="str">
        <f t="shared" si="1"/>
        <v>Please rate the vendor's answer</v>
      </c>
    </row>
    <row r="59" spans="1:8" ht="48" customHeight="1" x14ac:dyDescent="0.2">
      <c r="A59" s="144" t="str">
        <f>HECVAT!A171</f>
        <v>DCTR-13</v>
      </c>
      <c r="B59" s="291" t="str">
        <f>HECVAT!B171</f>
        <v>What Tier Level is your data center (per levels defined by the Uptime Institute)?</v>
      </c>
      <c r="C59" s="291"/>
      <c r="D59" s="292">
        <f>HECVAT!C171</f>
        <v>0</v>
      </c>
      <c r="E59" s="292"/>
      <c r="F59" s="292"/>
      <c r="H59" s="160" t="str">
        <f t="shared" si="1"/>
        <v>Please rate the vendor's answer</v>
      </c>
    </row>
    <row r="60" spans="1:8" ht="48" customHeight="1" x14ac:dyDescent="0.2">
      <c r="A60" s="144" t="str">
        <f>HECVAT!A175</f>
        <v>DCTR-17</v>
      </c>
      <c r="B60" s="291" t="str">
        <f>HECVAT!B175</f>
        <v>Describe or provide a reference to the availability of cooling and fire suppression systems in all datacenters where institution data will reside.</v>
      </c>
      <c r="C60" s="291"/>
      <c r="D60" s="292">
        <f>HECVAT!C175</f>
        <v>0</v>
      </c>
      <c r="E60" s="292"/>
      <c r="F60" s="292"/>
      <c r="H60" s="160" t="str">
        <f t="shared" si="1"/>
        <v>Please rate the vendor's answer</v>
      </c>
    </row>
    <row r="61" spans="1:8" ht="48" customHeight="1" x14ac:dyDescent="0.2">
      <c r="A61" s="144" t="str">
        <f>HECVAT!A176</f>
        <v>DCTR-18</v>
      </c>
      <c r="B61" s="291" t="str">
        <f>HECVAT!B176</f>
        <v xml:space="preserve">State how many Internet Service Providers (ISPs) provide connectivity to each datacenter where the institution's data will reside. </v>
      </c>
      <c r="C61" s="291"/>
      <c r="D61" s="292">
        <f>HECVAT!C176</f>
        <v>0</v>
      </c>
      <c r="E61" s="292"/>
      <c r="F61" s="292"/>
      <c r="H61" s="160" t="str">
        <f t="shared" si="1"/>
        <v>Please rate the vendor's answer</v>
      </c>
    </row>
    <row r="62" spans="1:8" ht="48" customHeight="1" x14ac:dyDescent="0.2">
      <c r="A62" s="144" t="str">
        <f>HECVAT!A195</f>
        <v>FIDP-03</v>
      </c>
      <c r="B62" s="291" t="str">
        <f>HECVAT!B195</f>
        <v>State and describe who has the authority to change firewall rules?</v>
      </c>
      <c r="C62" s="291"/>
      <c r="D62" s="292">
        <f>HECVAT!C195</f>
        <v>0</v>
      </c>
      <c r="E62" s="292"/>
      <c r="F62" s="292"/>
      <c r="H62" s="160" t="str">
        <f t="shared" si="1"/>
        <v>Please rate the vendor's answer</v>
      </c>
    </row>
    <row r="63" spans="1:8" ht="48" customHeight="1" x14ac:dyDescent="0.2">
      <c r="A63" s="144" t="str">
        <f>HECVAT!A203</f>
        <v>FIDP-11</v>
      </c>
      <c r="B63" s="291" t="str">
        <f>HECVAT!B203</f>
        <v>Is intrusion monitoring performed internally or by a third-party service?</v>
      </c>
      <c r="C63" s="291"/>
      <c r="D63" s="292">
        <f>HECVAT!C203</f>
        <v>0</v>
      </c>
      <c r="E63" s="292"/>
      <c r="F63" s="292"/>
      <c r="H63" s="160" t="str">
        <f t="shared" si="1"/>
        <v>Please rate the vendor's answer</v>
      </c>
    </row>
    <row r="64" spans="1:8" ht="48" customHeight="1" x14ac:dyDescent="0.2">
      <c r="A64" s="144" t="str">
        <f>HECVAT!A248</f>
        <v>QLAS-01</v>
      </c>
      <c r="B64" s="292" t="str">
        <f>HECVAT!B248</f>
        <v>Provide a general summary of your Quality Assurance program.</v>
      </c>
      <c r="C64" s="292"/>
      <c r="D64" s="292">
        <f>HECVAT!C248</f>
        <v>0</v>
      </c>
      <c r="E64" s="292"/>
      <c r="F64" s="292"/>
      <c r="H64" s="160" t="str">
        <f t="shared" si="1"/>
        <v>Please rate the vendor's answer</v>
      </c>
    </row>
    <row r="65" spans="1:8" ht="48" customHeight="1" x14ac:dyDescent="0.2">
      <c r="A65" s="144" t="str">
        <f>HECVAT!A264</f>
        <v>VULN-06</v>
      </c>
      <c r="B65" s="292" t="str">
        <f>HECVAT!B264</f>
        <v>Describe or provide a reference to the tool(s) used to scan for vulnerabilities in your applications and systems.</v>
      </c>
      <c r="C65" s="292"/>
      <c r="D65" s="292">
        <f>HECVAT!C264</f>
        <v>0</v>
      </c>
      <c r="E65" s="292"/>
      <c r="F65" s="292"/>
      <c r="H65" s="160" t="str">
        <f t="shared" si="1"/>
        <v>Please rate the vendor's answer</v>
      </c>
    </row>
    <row r="66" spans="1:8" ht="48" customHeight="1" x14ac:dyDescent="0.2">
      <c r="A66" s="144" t="str">
        <f>HECVAT!A266</f>
        <v>VULN-08</v>
      </c>
      <c r="B66" s="292" t="str">
        <f>HECVAT!B266</f>
        <v>Describe or provide a reference to how you monitor for and protect against common web application security vulnerabilities (e.g. SQL injection, XSS, XSRF, etc.).</v>
      </c>
      <c r="C66" s="292"/>
      <c r="D66" s="292">
        <f>HECVAT!C266</f>
        <v>0</v>
      </c>
      <c r="E66" s="292"/>
      <c r="F66" s="292"/>
      <c r="H66" s="160" t="str">
        <f>IF(G66="","Please rate the vendor's answer","")</f>
        <v>Please rate the vendor's answer</v>
      </c>
    </row>
    <row r="67" spans="1:8" ht="48" customHeight="1" x14ac:dyDescent="0.2">
      <c r="A67" s="161" t="s">
        <v>2112</v>
      </c>
      <c r="B67" s="162">
        <f>HECVAT!C24</f>
        <v>0</v>
      </c>
      <c r="C67" s="163"/>
      <c r="D67" s="163"/>
      <c r="E67" s="163"/>
      <c r="F67" s="163"/>
      <c r="G67" s="161" t="s">
        <v>2083</v>
      </c>
    </row>
    <row r="68" spans="1:8" ht="48" customHeight="1" x14ac:dyDescent="0.2">
      <c r="A68" s="144" t="str">
        <f>HECVAT!A291</f>
        <v>HIPA-23</v>
      </c>
      <c r="B68" s="292" t="str">
        <f>HECVAT!B291</f>
        <v>How long does the application keep access/change logs?</v>
      </c>
      <c r="C68" s="292"/>
      <c r="D68" s="292">
        <f>HECVAT!C291</f>
        <v>0</v>
      </c>
      <c r="E68" s="292"/>
      <c r="F68" s="292"/>
      <c r="H68" s="160" t="str">
        <f>IF(G68="",IF(B67=1,"Please rate the vendor's answer",""),"")</f>
        <v/>
      </c>
    </row>
    <row r="69" spans="1:8" ht="48" customHeight="1" x14ac:dyDescent="0.2">
      <c r="A69" s="161" t="s">
        <v>2108</v>
      </c>
      <c r="B69" s="161">
        <f>HECVAT!C25</f>
        <v>0</v>
      </c>
      <c r="C69" s="161"/>
      <c r="D69" s="163"/>
      <c r="E69" s="163"/>
      <c r="F69" s="163"/>
      <c r="G69" s="161" t="s">
        <v>2083</v>
      </c>
    </row>
    <row r="70" spans="1:8" ht="48" customHeight="1" x14ac:dyDescent="0.2">
      <c r="A70" s="144" t="str">
        <f>HECVAT!A206</f>
        <v>MAPP-01</v>
      </c>
      <c r="B70" s="291" t="str">
        <f>HECVAT!B206</f>
        <v>On which mobile operating systems is your software or service supported?</v>
      </c>
      <c r="C70" s="291"/>
      <c r="D70" s="292">
        <f>HECVAT!C206</f>
        <v>0</v>
      </c>
      <c r="E70" s="292"/>
      <c r="F70" s="292"/>
      <c r="H70" s="160" t="str">
        <f t="shared" ref="H70:H71" si="2">IF(G70="",IF(B$69=1,"Please rate the vendor's answer",""),"")</f>
        <v/>
      </c>
    </row>
    <row r="71" spans="1:8" ht="48" customHeight="1" x14ac:dyDescent="0.2">
      <c r="A71" s="144" t="str">
        <f>HECVAT!A207</f>
        <v>MAPP-02</v>
      </c>
      <c r="B71" s="291" t="str">
        <f>HECVAT!B207</f>
        <v>Describe or provide a reference to the application's architecture and functionality.</v>
      </c>
      <c r="C71" s="291"/>
      <c r="D71" s="292">
        <f>HECVAT!C207</f>
        <v>0</v>
      </c>
      <c r="E71" s="292"/>
      <c r="F71" s="292"/>
      <c r="H71" s="160" t="str">
        <f t="shared" si="2"/>
        <v/>
      </c>
    </row>
    <row r="72" spans="1:8" ht="48" customHeight="1" x14ac:dyDescent="0.2">
      <c r="A72" s="144" t="str">
        <f>HECVAT!A213</f>
        <v>MAPP-08</v>
      </c>
      <c r="B72" s="291" t="str">
        <f>HECVAT!B213</f>
        <v>Will any of these systems be implemented on systems hosting the Institution's data?</v>
      </c>
      <c r="C72" s="291"/>
      <c r="D72" s="292">
        <f>HECVAT!C213</f>
        <v>0</v>
      </c>
      <c r="E72" s="292"/>
      <c r="F72" s="292"/>
      <c r="H72" s="160"/>
    </row>
    <row r="73" spans="1:8" ht="48" customHeight="1" x14ac:dyDescent="0.2">
      <c r="A73" s="144" t="str">
        <f>HECVAT!A216</f>
        <v>MAPP-11</v>
      </c>
      <c r="B73" s="291" t="str">
        <f>HECVAT!B216</f>
        <v>State the party that performed the vulnerability test and the date it was conducted?</v>
      </c>
      <c r="C73" s="291"/>
      <c r="D73" s="292">
        <f>HECVAT!C216</f>
        <v>0</v>
      </c>
      <c r="E73" s="292"/>
      <c r="F73" s="292"/>
      <c r="H73" s="160" t="str">
        <f>IF(G73="",IF(B$69=1,"Please rate the vendor's answer",""),"")</f>
        <v/>
      </c>
    </row>
    <row r="74" spans="1:8" ht="48" customHeight="1" x14ac:dyDescent="0.2">
      <c r="A74" s="161" t="s">
        <v>2109</v>
      </c>
      <c r="B74" s="161">
        <f>HECVAT!C26</f>
        <v>0</v>
      </c>
      <c r="C74" s="161"/>
      <c r="D74" s="163"/>
      <c r="E74" s="163"/>
      <c r="F74" s="163"/>
      <c r="G74" s="161" t="s">
        <v>2083</v>
      </c>
    </row>
    <row r="75" spans="1:8" ht="48" customHeight="1" x14ac:dyDescent="0.2">
      <c r="A75" s="144" t="str">
        <f>HECVAT!A47</f>
        <v>THRD-01</v>
      </c>
      <c r="B75" s="291" t="str">
        <f>HECVAT!B47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291"/>
      <c r="D75" s="292">
        <f>HECVAT!C47</f>
        <v>0</v>
      </c>
      <c r="E75" s="292"/>
      <c r="F75" s="292"/>
      <c r="H75" s="160" t="str">
        <f t="shared" ref="H75" si="3">IF(G75="",IF(B$74=1,"Please rate the vendor's answer",""),"")</f>
        <v/>
      </c>
    </row>
    <row r="76" spans="1:8" ht="48" customHeight="1" x14ac:dyDescent="0.2">
      <c r="A76" s="144" t="str">
        <f>HECVAT!A48</f>
        <v>THRD-02</v>
      </c>
      <c r="B76" s="291" t="str">
        <f>HECVAT!B48</f>
        <v>Provide a brief description for why each of these third parties will have access to institution data.</v>
      </c>
      <c r="C76" s="291"/>
      <c r="D76" s="292">
        <f>HECVAT!C48</f>
        <v>0</v>
      </c>
      <c r="E76" s="292"/>
      <c r="F76" s="292"/>
      <c r="H76" s="160" t="str">
        <f>IF(G76="",IF(B$74=1,"Please rate the vendor's answer",""),"")</f>
        <v/>
      </c>
    </row>
    <row r="77" spans="1:8" ht="48" customHeight="1" x14ac:dyDescent="0.2">
      <c r="A77" s="144" t="str">
        <f>HECVAT!A49</f>
        <v>THRD-03</v>
      </c>
      <c r="B77" s="291" t="str">
        <f>HECVAT!B49</f>
        <v>What legal agreements (i.e. contracts) do you have in place with these third parties that address liability in the event of a data breach?</v>
      </c>
      <c r="C77" s="291"/>
      <c r="D77" s="292">
        <f>HECVAT!C49</f>
        <v>0</v>
      </c>
      <c r="E77" s="292"/>
      <c r="F77" s="292"/>
      <c r="H77" s="160" t="str">
        <f t="shared" ref="H77:H78" si="4">IF(G77="",IF(B$74=1,"Please rate the vendor's answer",""),"")</f>
        <v/>
      </c>
    </row>
    <row r="78" spans="1:8" ht="48" customHeight="1" x14ac:dyDescent="0.2">
      <c r="A78" s="144" t="str">
        <f>HECVAT!A50</f>
        <v>THRD-04</v>
      </c>
      <c r="B78" s="291" t="str">
        <f>HECVAT!B50</f>
        <v>Describe or provide references to your third party management strategy or provide additional information that may help analysts better understand your environment and how it relates to third-party solutions.</v>
      </c>
      <c r="C78" s="291"/>
      <c r="D78" s="292">
        <f>HECVAT!C50</f>
        <v>0</v>
      </c>
      <c r="E78" s="292"/>
      <c r="F78" s="292"/>
      <c r="H78" s="160" t="str">
        <f t="shared" si="4"/>
        <v/>
      </c>
    </row>
    <row r="79" spans="1:8" ht="48" customHeight="1" x14ac:dyDescent="0.2">
      <c r="A79" s="161" t="s">
        <v>2110</v>
      </c>
      <c r="B79" s="161">
        <f>HECVAT!C27</f>
        <v>0</v>
      </c>
      <c r="C79" s="161"/>
      <c r="D79" s="163"/>
      <c r="E79" s="163"/>
      <c r="F79" s="163"/>
      <c r="G79" s="161" t="s">
        <v>2083</v>
      </c>
    </row>
    <row r="80" spans="1:8" ht="48" customHeight="1" x14ac:dyDescent="0.2">
      <c r="A80" s="144" t="str">
        <f>HECVAT!A98</f>
        <v>BCPL-01</v>
      </c>
      <c r="B80" s="291" t="str">
        <f>HECVAT!B98</f>
        <v>Describe or provide a reference to your Business Continuity Plan (BCP).</v>
      </c>
      <c r="C80" s="291"/>
      <c r="D80" s="292">
        <f>HECVAT!C98</f>
        <v>0</v>
      </c>
      <c r="E80" s="292"/>
      <c r="F80" s="292"/>
      <c r="H80" s="160" t="str">
        <f>IF(G80="",IF(B$79=1,"Please rate the vendor's answer",""),"")</f>
        <v/>
      </c>
    </row>
    <row r="81" spans="1:8" ht="48" customHeight="1" x14ac:dyDescent="0.2">
      <c r="A81" s="161" t="s">
        <v>2113</v>
      </c>
      <c r="B81" s="161">
        <f>HECVAT!C30</f>
        <v>0</v>
      </c>
      <c r="C81" s="161"/>
      <c r="D81" s="163"/>
      <c r="E81" s="163"/>
      <c r="F81" s="163"/>
      <c r="G81" s="161" t="s">
        <v>2083</v>
      </c>
    </row>
    <row r="82" spans="1:8" ht="48" customHeight="1" x14ac:dyDescent="0.2">
      <c r="A82" s="144" t="str">
        <f>HECVAT!A179</f>
        <v>DRPL-01</v>
      </c>
      <c r="B82" s="291" t="str">
        <f>HECVAT!B179</f>
        <v>Describe or provide a reference to your Disaster Recovery Plan (DRP).</v>
      </c>
      <c r="C82" s="291"/>
      <c r="D82" s="292">
        <f>HECVAT!C179</f>
        <v>0</v>
      </c>
      <c r="E82" s="292"/>
      <c r="F82" s="292"/>
      <c r="H82" s="160" t="str">
        <f>IF(G82="",IF(B$81=1,"Please rate the vendor's answer",""),"")</f>
        <v/>
      </c>
    </row>
    <row r="83" spans="1:8" ht="48" customHeight="1" x14ac:dyDescent="0.2">
      <c r="A83" s="144" t="str">
        <f>HECVAT!A187</f>
        <v>DRPL-09</v>
      </c>
      <c r="B83" s="291" t="str">
        <f>HECVAT!B187</f>
        <v>Describe or provide a reference to how your disaster recovery plan is tested? (i.e. scope of DR tests, end-to-end testing, etc.)</v>
      </c>
      <c r="C83" s="291"/>
      <c r="D83" s="292">
        <f>HECVAT!C187</f>
        <v>0</v>
      </c>
      <c r="E83" s="292"/>
      <c r="F83" s="292"/>
      <c r="H83" s="160" t="str">
        <f>IF(G83="",IF(B$81=1,"Please rate the vendor's answer",""),"")</f>
        <v/>
      </c>
    </row>
    <row r="84" spans="1:8" ht="48" customHeight="1" x14ac:dyDescent="0.2">
      <c r="A84" s="161" t="s">
        <v>2111</v>
      </c>
      <c r="B84" s="161">
        <f>HECVAT!C29</f>
        <v>0</v>
      </c>
      <c r="C84" s="161"/>
      <c r="D84" s="163"/>
      <c r="E84" s="163"/>
      <c r="F84" s="163"/>
      <c r="G84" s="161" t="s">
        <v>2083</v>
      </c>
    </row>
    <row r="85" spans="1:8" ht="48" customHeight="1" x14ac:dyDescent="0.2">
      <c r="A85" s="144" t="str">
        <f>HECVAT!A306</f>
        <v>PCID-06</v>
      </c>
      <c r="B85" s="291" t="str">
        <f>HECVAT!B306</f>
        <v>Are you classified as a merchant?  If so, what level (1, 2, 3, 4)?</v>
      </c>
      <c r="C85" s="291"/>
      <c r="D85" s="292">
        <f>HECVAT!C306</f>
        <v>0</v>
      </c>
      <c r="E85" s="292"/>
      <c r="F85" s="292"/>
      <c r="H85" s="160" t="str">
        <f>IF(G85="",IF(B$84=1,"Please rate the vendor's answer",""),"")</f>
        <v/>
      </c>
    </row>
    <row r="86" spans="1:8" ht="48" customHeight="1" x14ac:dyDescent="0.2">
      <c r="A86" s="144" t="str">
        <f>HECVAT!A307</f>
        <v>PCID-07</v>
      </c>
      <c r="B86" s="291" t="str">
        <f>HECVAT!B307</f>
        <v>Describe the architecture employed by the system to verify and authorize credit card transactions.</v>
      </c>
      <c r="C86" s="291"/>
      <c r="D86" s="292">
        <f>HECVAT!C307</f>
        <v>0</v>
      </c>
      <c r="E86" s="292"/>
      <c r="F86" s="292"/>
      <c r="H86" s="160" t="str">
        <f t="shared" ref="H86:H88" si="5">IF(G86="",IF(B$84=1,"Please rate the vendor's answer",""),"")</f>
        <v/>
      </c>
    </row>
    <row r="87" spans="1:8" ht="48" customHeight="1" x14ac:dyDescent="0.2">
      <c r="A87" s="144" t="str">
        <f>HECVAT!A308</f>
        <v>PCID-08</v>
      </c>
      <c r="B87" s="291" t="str">
        <f>HECVAT!B308</f>
        <v xml:space="preserve">What payment processors/gateways does the system support? </v>
      </c>
      <c r="C87" s="291"/>
      <c r="D87" s="292">
        <f>HECVAT!C308</f>
        <v>0</v>
      </c>
      <c r="E87" s="292"/>
      <c r="F87" s="292"/>
      <c r="H87" s="160" t="str">
        <f t="shared" si="5"/>
        <v/>
      </c>
    </row>
    <row r="88" spans="1:8" ht="48" customHeight="1" x14ac:dyDescent="0.2">
      <c r="A88" s="144" t="str">
        <f>HECVAT!A312</f>
        <v>PCID-12</v>
      </c>
      <c r="B88" s="291" t="str">
        <f>HECVAT!B312</f>
        <v xml:space="preserve">Include documentation describing the systems' abilities to comply with the PCI DSS and any features or capabilities of the system that must be added or changed in order to operate in compliance with the standards. </v>
      </c>
      <c r="C88" s="291"/>
      <c r="D88" s="292">
        <f>HECVAT!C312</f>
        <v>0</v>
      </c>
      <c r="E88" s="292"/>
      <c r="F88" s="292"/>
      <c r="H88" s="160" t="str">
        <f t="shared" si="5"/>
        <v/>
      </c>
    </row>
    <row r="89" spans="1:8" ht="48" customHeight="1" x14ac:dyDescent="0.2"/>
    <row r="90" spans="1:8" ht="48" customHeight="1" x14ac:dyDescent="0.2"/>
    <row r="91" spans="1:8" ht="48" customHeight="1" x14ac:dyDescent="0.2"/>
    <row r="92" spans="1:8" ht="48" customHeight="1" x14ac:dyDescent="0.2"/>
    <row r="93" spans="1:8" ht="48" customHeight="1" x14ac:dyDescent="0.2"/>
    <row r="94" spans="1:8" ht="48" customHeight="1" x14ac:dyDescent="0.2"/>
    <row r="95" spans="1:8" ht="48" customHeight="1" x14ac:dyDescent="0.2"/>
    <row r="96" spans="1:8" ht="48" customHeight="1" x14ac:dyDescent="0.2"/>
    <row r="97" ht="48" customHeight="1" x14ac:dyDescent="0.2"/>
    <row r="98" ht="48" customHeight="1" x14ac:dyDescent="0.2"/>
    <row r="99" ht="48" customHeight="1" x14ac:dyDescent="0.2"/>
    <row r="100" ht="48" customHeight="1" x14ac:dyDescent="0.2"/>
    <row r="101" ht="48" customHeight="1" x14ac:dyDescent="0.2"/>
    <row r="102" ht="48" customHeight="1" x14ac:dyDescent="0.2"/>
    <row r="103" ht="48" customHeight="1" x14ac:dyDescent="0.2"/>
    <row r="104" ht="48" customHeight="1" x14ac:dyDescent="0.2"/>
    <row r="105" ht="48" customHeight="1" x14ac:dyDescent="0.2"/>
    <row r="106" ht="48" customHeight="1" x14ac:dyDescent="0.2"/>
    <row r="107" ht="48" customHeight="1" x14ac:dyDescent="0.2"/>
    <row r="108" ht="48" customHeight="1" x14ac:dyDescent="0.2"/>
    <row r="109" ht="48" customHeight="1" x14ac:dyDescent="0.2"/>
    <row r="110" ht="48" customHeight="1" x14ac:dyDescent="0.2"/>
    <row r="111" ht="48" customHeight="1" x14ac:dyDescent="0.2"/>
    <row r="112" ht="48" customHeight="1" x14ac:dyDescent="0.2"/>
    <row r="113" ht="48" customHeight="1" x14ac:dyDescent="0.2"/>
    <row r="114" ht="48" customHeight="1" x14ac:dyDescent="0.2"/>
    <row r="115" ht="48" customHeight="1" x14ac:dyDescent="0.2"/>
    <row r="116" ht="48" customHeight="1" x14ac:dyDescent="0.2"/>
    <row r="117" ht="48" customHeight="1" x14ac:dyDescent="0.2"/>
    <row r="118" ht="48" customHeight="1" x14ac:dyDescent="0.2"/>
    <row r="119" ht="48" customHeight="1" x14ac:dyDescent="0.2"/>
    <row r="120" ht="48" customHeight="1" x14ac:dyDescent="0.2"/>
    <row r="121" ht="48" customHeight="1" x14ac:dyDescent="0.2"/>
    <row r="122" ht="48" customHeight="1" x14ac:dyDescent="0.2"/>
    <row r="123" ht="48" customHeight="1" x14ac:dyDescent="0.2"/>
    <row r="124" ht="48" customHeight="1" x14ac:dyDescent="0.2"/>
    <row r="125" ht="48" customHeight="1" x14ac:dyDescent="0.2"/>
    <row r="126" ht="48" customHeight="1" x14ac:dyDescent="0.2"/>
    <row r="127" ht="48" customHeight="1" x14ac:dyDescent="0.2"/>
    <row r="128" ht="48" customHeight="1" x14ac:dyDescent="0.2"/>
    <row r="129" ht="48" customHeight="1" x14ac:dyDescent="0.2"/>
    <row r="130" ht="48" customHeight="1" x14ac:dyDescent="0.2"/>
    <row r="131" ht="48" customHeight="1" x14ac:dyDescent="0.2"/>
    <row r="132" ht="48" customHeight="1" x14ac:dyDescent="0.2"/>
    <row r="133" ht="48" customHeight="1" x14ac:dyDescent="0.2"/>
    <row r="134" ht="48" customHeight="1" x14ac:dyDescent="0.2"/>
    <row r="135" ht="48" customHeight="1" x14ac:dyDescent="0.2"/>
    <row r="136" ht="48" customHeight="1" x14ac:dyDescent="0.2"/>
    <row r="137" ht="48" customHeight="1" x14ac:dyDescent="0.2"/>
    <row r="138" ht="48" customHeight="1" x14ac:dyDescent="0.2"/>
    <row r="139" ht="48" customHeight="1" x14ac:dyDescent="0.2"/>
    <row r="140" ht="48" customHeight="1" x14ac:dyDescent="0.2"/>
    <row r="141" ht="48" customHeight="1" x14ac:dyDescent="0.2"/>
    <row r="142" ht="48" customHeight="1" x14ac:dyDescent="0.2"/>
    <row r="143" ht="48" customHeight="1" x14ac:dyDescent="0.2"/>
    <row r="144" ht="48" customHeight="1" x14ac:dyDescent="0.2"/>
    <row r="145" ht="48" customHeight="1" x14ac:dyDescent="0.2"/>
    <row r="146" ht="48" customHeight="1" x14ac:dyDescent="0.2"/>
    <row r="147" ht="48" customHeight="1" x14ac:dyDescent="0.2"/>
    <row r="148" ht="48" customHeight="1" x14ac:dyDescent="0.2"/>
    <row r="149" ht="48" customHeight="1" x14ac:dyDescent="0.2"/>
    <row r="150" ht="48" customHeight="1" x14ac:dyDescent="0.2"/>
    <row r="151" ht="48" customHeight="1" x14ac:dyDescent="0.2"/>
    <row r="152" ht="48" customHeight="1" x14ac:dyDescent="0.2"/>
    <row r="153" ht="48" customHeight="1" x14ac:dyDescent="0.2"/>
    <row r="154" ht="48" customHeight="1" x14ac:dyDescent="0.2"/>
    <row r="155" ht="48" customHeight="1" x14ac:dyDescent="0.2"/>
    <row r="156" ht="48" customHeight="1" x14ac:dyDescent="0.2"/>
    <row r="157" ht="48" customHeight="1" x14ac:dyDescent="0.2"/>
    <row r="158" ht="48" customHeight="1" x14ac:dyDescent="0.2"/>
    <row r="159" ht="48" customHeight="1" x14ac:dyDescent="0.2"/>
    <row r="160" ht="48" customHeight="1" x14ac:dyDescent="0.2"/>
    <row r="161" ht="48" customHeight="1" x14ac:dyDescent="0.2"/>
    <row r="162" ht="48" customHeight="1" x14ac:dyDescent="0.2"/>
    <row r="163" ht="48" customHeight="1" x14ac:dyDescent="0.2"/>
    <row r="164" ht="48" customHeight="1" x14ac:dyDescent="0.2"/>
    <row r="165" ht="48" customHeight="1" x14ac:dyDescent="0.2"/>
    <row r="166" ht="48" customHeight="1" x14ac:dyDescent="0.2"/>
    <row r="167" ht="48" customHeight="1" x14ac:dyDescent="0.2"/>
    <row r="168" ht="48" customHeight="1" x14ac:dyDescent="0.2"/>
    <row r="169" ht="48" customHeight="1" x14ac:dyDescent="0.2"/>
    <row r="170" ht="48" customHeight="1" x14ac:dyDescent="0.2"/>
    <row r="171" ht="48" customHeight="1" x14ac:dyDescent="0.2"/>
    <row r="172" ht="48" customHeight="1" x14ac:dyDescent="0.2"/>
    <row r="173" ht="48" customHeight="1" x14ac:dyDescent="0.2"/>
    <row r="174" ht="48" customHeight="1" x14ac:dyDescent="0.2"/>
    <row r="175" ht="48" customHeight="1" x14ac:dyDescent="0.2"/>
    <row r="176" ht="48" customHeight="1" x14ac:dyDescent="0.2"/>
    <row r="177" ht="48" customHeight="1" x14ac:dyDescent="0.2"/>
    <row r="178" ht="48" customHeight="1" x14ac:dyDescent="0.2"/>
    <row r="179" ht="48" customHeight="1" x14ac:dyDescent="0.2"/>
    <row r="180" ht="48" customHeight="1" x14ac:dyDescent="0.2"/>
    <row r="181" ht="48" customHeight="1" x14ac:dyDescent="0.2"/>
    <row r="182" ht="48" customHeight="1" x14ac:dyDescent="0.2"/>
    <row r="183" ht="48" customHeight="1" x14ac:dyDescent="0.2"/>
    <row r="184" ht="48" customHeight="1" x14ac:dyDescent="0.2"/>
    <row r="185" ht="48" customHeight="1" x14ac:dyDescent="0.2"/>
    <row r="186" ht="48" customHeight="1" x14ac:dyDescent="0.2"/>
    <row r="187" ht="48" customHeight="1" x14ac:dyDescent="0.2"/>
    <row r="188" ht="48" customHeight="1" x14ac:dyDescent="0.2"/>
    <row r="189" ht="48" customHeight="1" x14ac:dyDescent="0.2"/>
    <row r="190" ht="48" customHeight="1" x14ac:dyDescent="0.2"/>
    <row r="191" ht="48" customHeight="1" x14ac:dyDescent="0.2"/>
    <row r="192" ht="48" customHeight="1" x14ac:dyDescent="0.2"/>
    <row r="193" ht="48" customHeight="1" x14ac:dyDescent="0.2"/>
    <row r="194" ht="48" customHeight="1" x14ac:dyDescent="0.2"/>
    <row r="195" ht="48" customHeight="1" x14ac:dyDescent="0.2"/>
    <row r="196" ht="48" customHeight="1" x14ac:dyDescent="0.2"/>
    <row r="197" ht="48" customHeight="1" x14ac:dyDescent="0.2"/>
    <row r="198" ht="48" customHeight="1" x14ac:dyDescent="0.2"/>
    <row r="199" ht="48" customHeight="1" x14ac:dyDescent="0.2"/>
    <row r="200" ht="48" customHeight="1" x14ac:dyDescent="0.2"/>
    <row r="201" ht="48" customHeight="1" x14ac:dyDescent="0.2"/>
    <row r="202" ht="48" customHeight="1" x14ac:dyDescent="0.2"/>
    <row r="203" ht="48" customHeight="1" x14ac:dyDescent="0.2"/>
    <row r="204" ht="48" customHeight="1" x14ac:dyDescent="0.2"/>
    <row r="205" ht="48" customHeight="1" x14ac:dyDescent="0.2"/>
    <row r="206" ht="48" customHeight="1" x14ac:dyDescent="0.2"/>
    <row r="207" ht="48" customHeight="1" x14ac:dyDescent="0.2"/>
    <row r="208" ht="48" customHeight="1" x14ac:dyDescent="0.2"/>
    <row r="209" ht="48" customHeight="1" x14ac:dyDescent="0.2"/>
    <row r="210" ht="48" customHeight="1" x14ac:dyDescent="0.2"/>
    <row r="211" ht="48" customHeight="1" x14ac:dyDescent="0.2"/>
    <row r="212" ht="48" customHeight="1" x14ac:dyDescent="0.2"/>
    <row r="213" ht="48" customHeight="1" x14ac:dyDescent="0.2"/>
    <row r="214" ht="48" customHeight="1" x14ac:dyDescent="0.2"/>
    <row r="215" ht="48" customHeight="1" x14ac:dyDescent="0.2"/>
    <row r="216" ht="48" customHeight="1" x14ac:dyDescent="0.2"/>
    <row r="217" ht="48" customHeight="1" x14ac:dyDescent="0.2"/>
    <row r="218" ht="48" customHeight="1" x14ac:dyDescent="0.2"/>
    <row r="219" ht="48" customHeight="1" x14ac:dyDescent="0.2"/>
    <row r="220" ht="48" customHeight="1" x14ac:dyDescent="0.2"/>
    <row r="221" ht="48" customHeight="1" x14ac:dyDescent="0.2"/>
    <row r="222" ht="48" customHeight="1" x14ac:dyDescent="0.2"/>
    <row r="223" ht="48" customHeight="1" x14ac:dyDescent="0.2"/>
    <row r="224" ht="48" customHeight="1" x14ac:dyDescent="0.2"/>
    <row r="225" ht="48" customHeight="1" x14ac:dyDescent="0.2"/>
    <row r="226" ht="48" customHeight="1" x14ac:dyDescent="0.2"/>
    <row r="227" ht="48" customHeight="1" x14ac:dyDescent="0.2"/>
    <row r="228" ht="48" customHeight="1" x14ac:dyDescent="0.2"/>
    <row r="229" ht="48" customHeight="1" x14ac:dyDescent="0.2"/>
    <row r="230" ht="48" customHeight="1" x14ac:dyDescent="0.2"/>
    <row r="231" ht="48" customHeight="1" x14ac:dyDescent="0.2"/>
    <row r="232" ht="48" customHeight="1" x14ac:dyDescent="0.2"/>
    <row r="233" ht="48" customHeight="1" x14ac:dyDescent="0.2"/>
    <row r="234" ht="48" customHeight="1" x14ac:dyDescent="0.2"/>
    <row r="235" ht="48" customHeight="1" x14ac:dyDescent="0.2"/>
    <row r="236" ht="48" customHeight="1" x14ac:dyDescent="0.2"/>
    <row r="237" ht="48" customHeight="1" x14ac:dyDescent="0.2"/>
    <row r="238" ht="48" customHeight="1" x14ac:dyDescent="0.2"/>
    <row r="239" ht="48" customHeight="1" x14ac:dyDescent="0.2"/>
    <row r="240" ht="48" customHeight="1" x14ac:dyDescent="0.2"/>
    <row r="241" ht="48" customHeight="1" x14ac:dyDescent="0.2"/>
    <row r="242" ht="48" customHeight="1" x14ac:dyDescent="0.2"/>
    <row r="243" ht="48" customHeight="1" x14ac:dyDescent="0.2"/>
    <row r="244" ht="48" customHeight="1" x14ac:dyDescent="0.2"/>
    <row r="245" ht="48" customHeight="1" x14ac:dyDescent="0.2"/>
    <row r="246" ht="48" customHeight="1" x14ac:dyDescent="0.2"/>
    <row r="247" ht="48" customHeight="1" x14ac:dyDescent="0.2"/>
    <row r="248" ht="48" customHeight="1" x14ac:dyDescent="0.2"/>
    <row r="249" ht="48" customHeight="1" x14ac:dyDescent="0.2"/>
    <row r="250" ht="48" customHeight="1" x14ac:dyDescent="0.2"/>
    <row r="251" ht="48" customHeight="1" x14ac:dyDescent="0.2"/>
    <row r="252" ht="48" customHeight="1" x14ac:dyDescent="0.2"/>
    <row r="253" ht="48" customHeight="1" x14ac:dyDescent="0.2"/>
    <row r="254" ht="48" customHeight="1" x14ac:dyDescent="0.2"/>
    <row r="255" ht="48" customHeight="1" x14ac:dyDescent="0.2"/>
    <row r="256" ht="48" customHeight="1" x14ac:dyDescent="0.2"/>
    <row r="257" ht="48" customHeight="1" x14ac:dyDescent="0.2"/>
    <row r="258" ht="48" customHeight="1" x14ac:dyDescent="0.2"/>
    <row r="259" ht="48" customHeight="1" x14ac:dyDescent="0.2"/>
    <row r="260" ht="48" customHeight="1" x14ac:dyDescent="0.2"/>
    <row r="261" ht="48" customHeight="1" x14ac:dyDescent="0.2"/>
    <row r="262" ht="48" customHeight="1" x14ac:dyDescent="0.2"/>
    <row r="263" ht="48" customHeight="1" x14ac:dyDescent="0.2"/>
    <row r="264" ht="48" customHeight="1" x14ac:dyDescent="0.2"/>
    <row r="265" ht="48" customHeight="1" x14ac:dyDescent="0.2"/>
    <row r="266" ht="48" customHeight="1" x14ac:dyDescent="0.2"/>
    <row r="267" ht="48" customHeight="1" x14ac:dyDescent="0.2"/>
    <row r="268" ht="48" customHeight="1" x14ac:dyDescent="0.2"/>
    <row r="269" ht="48" customHeight="1" x14ac:dyDescent="0.2"/>
    <row r="270" ht="48" customHeight="1" x14ac:dyDescent="0.2"/>
    <row r="271" ht="48" customHeight="1" x14ac:dyDescent="0.2"/>
    <row r="272" ht="48" customHeight="1" x14ac:dyDescent="0.2"/>
    <row r="273" ht="48" customHeight="1" x14ac:dyDescent="0.2"/>
    <row r="274" ht="48" customHeight="1" x14ac:dyDescent="0.2"/>
    <row r="275" ht="48" customHeight="1" x14ac:dyDescent="0.2"/>
    <row r="276" ht="48" customHeight="1" x14ac:dyDescent="0.2"/>
    <row r="277" ht="48" customHeight="1" x14ac:dyDescent="0.2"/>
    <row r="278" ht="48" customHeight="1" x14ac:dyDescent="0.2"/>
    <row r="279" ht="48" customHeight="1" x14ac:dyDescent="0.2"/>
    <row r="280" ht="48" customHeight="1" x14ac:dyDescent="0.2"/>
    <row r="281" ht="48" customHeight="1" x14ac:dyDescent="0.2"/>
    <row r="282" ht="48" customHeight="1" x14ac:dyDescent="0.2"/>
    <row r="283" ht="48" customHeight="1" x14ac:dyDescent="0.2"/>
    <row r="284" ht="48" customHeight="1" x14ac:dyDescent="0.2"/>
    <row r="285" ht="48" customHeight="1" x14ac:dyDescent="0.2"/>
    <row r="286" ht="48" customHeight="1" x14ac:dyDescent="0.2"/>
    <row r="287" ht="48" customHeight="1" x14ac:dyDescent="0.2"/>
    <row r="288" ht="48" customHeight="1" x14ac:dyDescent="0.2"/>
    <row r="289" ht="48" customHeight="1" x14ac:dyDescent="0.2"/>
    <row r="290" ht="48" customHeight="1" x14ac:dyDescent="0.2"/>
    <row r="291" ht="48" customHeight="1" x14ac:dyDescent="0.2"/>
    <row r="292" ht="48" customHeight="1" x14ac:dyDescent="0.2"/>
    <row r="293" ht="48" customHeight="1" x14ac:dyDescent="0.2"/>
    <row r="294" ht="48" customHeight="1" x14ac:dyDescent="0.2"/>
    <row r="295" ht="48" customHeight="1" x14ac:dyDescent="0.2"/>
    <row r="296" ht="48" customHeight="1" x14ac:dyDescent="0.2"/>
    <row r="297" ht="48" customHeight="1" x14ac:dyDescent="0.2"/>
    <row r="298" ht="48" customHeight="1" x14ac:dyDescent="0.2"/>
    <row r="299" ht="48" customHeight="1" x14ac:dyDescent="0.2"/>
    <row r="300" ht="48" customHeight="1" x14ac:dyDescent="0.2"/>
    <row r="301" ht="48" customHeight="1" x14ac:dyDescent="0.2"/>
    <row r="302" ht="48" customHeight="1" x14ac:dyDescent="0.2"/>
    <row r="303" ht="48" customHeight="1" x14ac:dyDescent="0.2"/>
  </sheetData>
  <mergeCells count="107">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B8:C8"/>
    <mergeCell ref="F5:H5"/>
    <mergeCell ref="F6:H6"/>
    <mergeCell ref="F7:H7"/>
    <mergeCell ref="F8:H8"/>
    <mergeCell ref="D10:H10"/>
    <mergeCell ref="A2:H2"/>
    <mergeCell ref="A1:G1"/>
    <mergeCell ref="B6:C6"/>
    <mergeCell ref="B5:C5"/>
    <mergeCell ref="B7:C7"/>
    <mergeCell ref="A3:H3"/>
    <mergeCell ref="A4:H4"/>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70:G73 G75:G78 G80 G82:G83 G85:G88 G38:G66" xr:uid="{00000000-0002-0000-0400-000000000000}">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'Standards Crosswalk'!$A$314:$A$320</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sheetPr>
  <dimension ref="A1:H316"/>
  <sheetViews>
    <sheetView topLeftCell="A124" workbookViewId="0">
      <selection activeCell="G49" sqref="G49"/>
    </sheetView>
  </sheetViews>
  <sheetFormatPr defaultColWidth="8.5" defaultRowHeight="15" x14ac:dyDescent="0.2"/>
  <cols>
    <col min="1" max="1" width="14" style="144" customWidth="1"/>
    <col min="2" max="2" width="8.59765625" style="144" customWidth="1"/>
    <col min="3" max="3" width="36.09765625" style="144" customWidth="1"/>
    <col min="4" max="4" width="14.19921875" style="144" customWidth="1"/>
    <col min="5" max="5" width="11.5" style="144" customWidth="1"/>
    <col min="6" max="6" width="8.5" style="144"/>
    <col min="7" max="7" width="13.5" style="144" customWidth="1"/>
    <col min="8" max="8" width="24.19921875" style="144" customWidth="1"/>
    <col min="9" max="16384" width="8.5" style="144"/>
  </cols>
  <sheetData>
    <row r="1" spans="1:8" s="143" customFormat="1" ht="36" customHeight="1" x14ac:dyDescent="0.2">
      <c r="A1" s="306" t="s">
        <v>2636</v>
      </c>
      <c r="B1" s="306"/>
      <c r="C1" s="306"/>
      <c r="D1" s="306"/>
      <c r="E1" s="306"/>
      <c r="F1" s="306"/>
      <c r="G1" s="307"/>
      <c r="H1" s="184" t="str">
        <f>HECVAT!E1</f>
        <v>Version 2.04</v>
      </c>
    </row>
    <row r="2" spans="1:8" s="143" customFormat="1" ht="26.1" customHeight="1" x14ac:dyDescent="0.2">
      <c r="A2" s="308"/>
      <c r="B2" s="308"/>
      <c r="C2" s="308"/>
      <c r="D2" s="308"/>
      <c r="E2" s="308"/>
      <c r="F2" s="308"/>
      <c r="G2" s="308"/>
      <c r="H2" s="308"/>
    </row>
    <row r="3" spans="1:8" s="142" customFormat="1" ht="36" customHeight="1" x14ac:dyDescent="0.2">
      <c r="A3" s="137" t="s">
        <v>2639</v>
      </c>
      <c r="B3" s="249" t="str">
        <f>HECVAT!C7</f>
        <v>Vendor Name</v>
      </c>
      <c r="C3" s="249"/>
      <c r="D3" s="137" t="s">
        <v>2641</v>
      </c>
      <c r="E3" s="249" t="str">
        <f>HECVAT!C8</f>
        <v>Product Name and Version Information</v>
      </c>
      <c r="F3" s="249"/>
      <c r="G3" s="249"/>
      <c r="H3" s="249"/>
    </row>
    <row r="4" spans="1:8" s="143" customFormat="1" ht="48" customHeight="1" x14ac:dyDescent="0.2">
      <c r="A4" s="165" t="s">
        <v>2640</v>
      </c>
      <c r="B4" s="309" t="str">
        <f>HECVAT!C9</f>
        <v>Brief Description of the Product</v>
      </c>
      <c r="C4" s="309"/>
      <c r="D4" s="309"/>
      <c r="E4" s="309"/>
      <c r="F4" s="309"/>
      <c r="G4" s="309"/>
      <c r="H4" s="309"/>
    </row>
    <row r="5" spans="1:8" s="143" customFormat="1" ht="36" customHeight="1" x14ac:dyDescent="0.2">
      <c r="A5" s="222"/>
      <c r="B5" s="223"/>
      <c r="C5" s="223"/>
      <c r="D5" s="296" t="s">
        <v>2080</v>
      </c>
      <c r="E5" s="297"/>
      <c r="F5" s="223"/>
      <c r="G5" s="223"/>
      <c r="H5" s="224"/>
    </row>
    <row r="6" spans="1:8" ht="36" customHeight="1" x14ac:dyDescent="0.2">
      <c r="A6" s="225"/>
      <c r="B6" s="226"/>
      <c r="C6" s="226"/>
      <c r="D6" s="146">
        <f>Questions!W23</f>
        <v>0</v>
      </c>
      <c r="E6" s="170" t="str">
        <f>Questions!X23</f>
        <v>F</v>
      </c>
      <c r="F6" s="226"/>
      <c r="G6" s="226"/>
      <c r="H6" s="227"/>
    </row>
    <row r="7" spans="1:8" x14ac:dyDescent="0.2">
      <c r="A7" s="228"/>
      <c r="B7" s="229"/>
      <c r="C7" s="229"/>
      <c r="D7" s="229"/>
      <c r="E7" s="229"/>
      <c r="F7" s="229"/>
      <c r="G7" s="229"/>
      <c r="H7" s="230"/>
    </row>
    <row r="8" spans="1:8" x14ac:dyDescent="0.2">
      <c r="A8" s="228"/>
      <c r="B8" s="229"/>
      <c r="C8" s="229"/>
      <c r="D8" s="229"/>
      <c r="E8" s="229"/>
      <c r="F8" s="229"/>
      <c r="G8" s="229"/>
      <c r="H8" s="230"/>
    </row>
    <row r="9" spans="1:8" x14ac:dyDescent="0.2">
      <c r="A9" s="228"/>
      <c r="B9" s="229"/>
      <c r="C9" s="229"/>
      <c r="D9" s="229"/>
      <c r="E9" s="229"/>
      <c r="F9" s="229"/>
      <c r="G9" s="229"/>
      <c r="H9" s="230"/>
    </row>
    <row r="10" spans="1:8" x14ac:dyDescent="0.2">
      <c r="A10" s="228"/>
      <c r="B10" s="229"/>
      <c r="C10" s="229"/>
      <c r="D10" s="229"/>
      <c r="E10" s="229"/>
      <c r="F10" s="229"/>
      <c r="G10" s="229"/>
      <c r="H10" s="230"/>
    </row>
    <row r="11" spans="1:8" x14ac:dyDescent="0.2">
      <c r="A11" s="228"/>
      <c r="B11" s="229"/>
      <c r="C11" s="229"/>
      <c r="D11" s="229"/>
      <c r="E11" s="229"/>
      <c r="F11" s="229"/>
      <c r="G11" s="229"/>
      <c r="H11" s="230"/>
    </row>
    <row r="12" spans="1:8" x14ac:dyDescent="0.2">
      <c r="A12" s="228"/>
      <c r="B12" s="229"/>
      <c r="C12" s="229"/>
      <c r="D12" s="229"/>
      <c r="E12" s="229"/>
      <c r="F12" s="229"/>
      <c r="G12" s="229"/>
      <c r="H12" s="230"/>
    </row>
    <row r="13" spans="1:8" x14ac:dyDescent="0.2">
      <c r="A13" s="228"/>
      <c r="B13" s="229"/>
      <c r="C13" s="229"/>
      <c r="D13" s="229"/>
      <c r="E13" s="229"/>
      <c r="F13" s="229"/>
      <c r="G13" s="229"/>
      <c r="H13" s="230"/>
    </row>
    <row r="14" spans="1:8" x14ac:dyDescent="0.2">
      <c r="A14" s="228"/>
      <c r="B14" s="229"/>
      <c r="C14" s="229"/>
      <c r="D14" s="229"/>
      <c r="E14" s="229"/>
      <c r="F14" s="229"/>
      <c r="G14" s="229"/>
      <c r="H14" s="230"/>
    </row>
    <row r="15" spans="1:8" x14ac:dyDescent="0.2">
      <c r="A15" s="228"/>
      <c r="B15" s="229"/>
      <c r="C15" s="229"/>
      <c r="D15" s="229"/>
      <c r="E15" s="229"/>
      <c r="F15" s="229"/>
      <c r="G15" s="229"/>
      <c r="H15" s="230"/>
    </row>
    <row r="16" spans="1:8" x14ac:dyDescent="0.2">
      <c r="A16" s="228"/>
      <c r="B16" s="229"/>
      <c r="C16" s="229"/>
      <c r="D16" s="229"/>
      <c r="E16" s="229"/>
      <c r="F16" s="229"/>
      <c r="G16" s="229"/>
      <c r="H16" s="230"/>
    </row>
    <row r="17" spans="1:8" x14ac:dyDescent="0.2">
      <c r="A17" s="228"/>
      <c r="B17" s="229"/>
      <c r="C17" s="229"/>
      <c r="D17" s="229"/>
      <c r="E17" s="229"/>
      <c r="F17" s="229"/>
      <c r="G17" s="229"/>
      <c r="H17" s="230"/>
    </row>
    <row r="18" spans="1:8" x14ac:dyDescent="0.2">
      <c r="A18" s="228"/>
      <c r="B18" s="229"/>
      <c r="C18" s="229"/>
      <c r="D18" s="229"/>
      <c r="E18" s="229"/>
      <c r="F18" s="229"/>
      <c r="G18" s="229"/>
      <c r="H18" s="230"/>
    </row>
    <row r="19" spans="1:8" x14ac:dyDescent="0.2">
      <c r="A19" s="228"/>
      <c r="B19" s="229"/>
      <c r="C19" s="229"/>
      <c r="D19" s="229"/>
      <c r="E19" s="229"/>
      <c r="F19" s="229"/>
      <c r="G19" s="229"/>
      <c r="H19" s="230"/>
    </row>
    <row r="20" spans="1:8" x14ac:dyDescent="0.2">
      <c r="A20" s="228"/>
      <c r="B20" s="229"/>
      <c r="C20" s="229"/>
      <c r="D20" s="229"/>
      <c r="E20" s="229"/>
      <c r="F20" s="229"/>
      <c r="G20" s="229"/>
      <c r="H20" s="230"/>
    </row>
    <row r="21" spans="1:8" x14ac:dyDescent="0.2">
      <c r="A21" s="228"/>
      <c r="B21" s="229"/>
      <c r="C21" s="229"/>
      <c r="D21" s="229"/>
      <c r="E21" s="229"/>
      <c r="F21" s="229"/>
      <c r="G21" s="229"/>
      <c r="H21" s="230"/>
    </row>
    <row r="22" spans="1:8" x14ac:dyDescent="0.2">
      <c r="A22" s="228"/>
      <c r="B22" s="229"/>
      <c r="C22" s="229"/>
      <c r="D22" s="229"/>
      <c r="E22" s="229"/>
      <c r="F22" s="229"/>
      <c r="G22" s="229"/>
      <c r="H22" s="230"/>
    </row>
    <row r="23" spans="1:8" x14ac:dyDescent="0.2">
      <c r="A23" s="228"/>
      <c r="B23" s="229"/>
      <c r="C23" s="229"/>
      <c r="D23" s="229"/>
      <c r="E23" s="229"/>
      <c r="F23" s="229"/>
      <c r="G23" s="229"/>
      <c r="H23" s="230"/>
    </row>
    <row r="24" spans="1:8" x14ac:dyDescent="0.2">
      <c r="A24" s="228"/>
      <c r="B24" s="229"/>
      <c r="C24" s="229"/>
      <c r="D24" s="229"/>
      <c r="E24" s="229"/>
      <c r="F24" s="229"/>
      <c r="G24" s="229"/>
      <c r="H24" s="230"/>
    </row>
    <row r="25" spans="1:8" x14ac:dyDescent="0.2">
      <c r="A25" s="228"/>
      <c r="B25" s="229"/>
      <c r="C25" s="229"/>
      <c r="D25" s="229"/>
      <c r="E25" s="229"/>
      <c r="F25" s="229"/>
      <c r="G25" s="229"/>
      <c r="H25" s="230"/>
    </row>
    <row r="26" spans="1:8" x14ac:dyDescent="0.2">
      <c r="A26" s="228"/>
      <c r="B26" s="229"/>
      <c r="C26" s="229"/>
      <c r="D26" s="229"/>
      <c r="E26" s="229"/>
      <c r="F26" s="229"/>
      <c r="G26" s="229"/>
      <c r="H26" s="230"/>
    </row>
    <row r="27" spans="1:8" x14ac:dyDescent="0.2">
      <c r="A27" s="228"/>
      <c r="B27" s="229"/>
      <c r="C27" s="229"/>
      <c r="D27" s="229"/>
      <c r="E27" s="229"/>
      <c r="F27" s="229"/>
      <c r="G27" s="229"/>
      <c r="H27" s="230"/>
    </row>
    <row r="28" spans="1:8" x14ac:dyDescent="0.2">
      <c r="A28" s="228"/>
      <c r="B28" s="229"/>
      <c r="C28" s="229"/>
      <c r="D28" s="229"/>
      <c r="E28" s="229"/>
      <c r="F28" s="229"/>
      <c r="G28" s="229"/>
      <c r="H28" s="230"/>
    </row>
    <row r="29" spans="1:8" x14ac:dyDescent="0.2">
      <c r="A29" s="228"/>
      <c r="B29" s="229"/>
      <c r="C29" s="229"/>
      <c r="D29" s="229"/>
      <c r="E29" s="229"/>
      <c r="F29" s="229"/>
      <c r="G29" s="229"/>
      <c r="H29" s="230"/>
    </row>
    <row r="30" spans="1:8" x14ac:dyDescent="0.2">
      <c r="A30" s="228"/>
      <c r="B30" s="229"/>
      <c r="C30" s="229"/>
      <c r="D30" s="229"/>
      <c r="E30" s="229"/>
      <c r="F30" s="229"/>
      <c r="G30" s="229"/>
      <c r="H30" s="230"/>
    </row>
    <row r="31" spans="1:8" x14ac:dyDescent="0.2">
      <c r="A31" s="228"/>
      <c r="B31" s="229"/>
      <c r="C31" s="229"/>
      <c r="D31" s="229"/>
      <c r="E31" s="229"/>
      <c r="F31" s="229"/>
      <c r="G31" s="229"/>
      <c r="H31" s="230"/>
    </row>
    <row r="32" spans="1:8" x14ac:dyDescent="0.2">
      <c r="A32" s="228"/>
      <c r="B32" s="229"/>
      <c r="C32" s="229"/>
      <c r="D32" s="229"/>
      <c r="E32" s="229"/>
      <c r="F32" s="229"/>
      <c r="G32" s="229"/>
      <c r="H32" s="230"/>
    </row>
    <row r="33" spans="1:8" x14ac:dyDescent="0.2">
      <c r="A33" s="228"/>
      <c r="B33" s="229"/>
      <c r="C33" s="229"/>
      <c r="D33" s="229"/>
      <c r="E33" s="229"/>
      <c r="F33" s="229"/>
      <c r="G33" s="229"/>
      <c r="H33" s="230"/>
    </row>
    <row r="34" spans="1:8" x14ac:dyDescent="0.2">
      <c r="A34" s="228"/>
      <c r="B34" s="229"/>
      <c r="C34" s="229"/>
      <c r="D34" s="229"/>
      <c r="E34" s="229"/>
      <c r="F34" s="229"/>
      <c r="G34" s="229"/>
      <c r="H34" s="230"/>
    </row>
    <row r="35" spans="1:8" x14ac:dyDescent="0.2">
      <c r="A35" s="228"/>
      <c r="B35" s="229"/>
      <c r="C35" s="229"/>
      <c r="D35" s="229"/>
      <c r="E35" s="229"/>
      <c r="F35" s="229"/>
      <c r="G35" s="229"/>
      <c r="H35" s="230"/>
    </row>
    <row r="36" spans="1:8" x14ac:dyDescent="0.2">
      <c r="A36" s="228"/>
      <c r="B36" s="229"/>
      <c r="C36" s="229"/>
      <c r="D36" s="229"/>
      <c r="E36" s="229"/>
      <c r="F36" s="229"/>
      <c r="G36" s="229"/>
      <c r="H36" s="230"/>
    </row>
    <row r="37" spans="1:8" x14ac:dyDescent="0.2">
      <c r="A37" s="228"/>
      <c r="B37" s="229"/>
      <c r="C37" s="229"/>
      <c r="D37" s="229"/>
      <c r="E37" s="229"/>
      <c r="F37" s="229"/>
      <c r="G37" s="229"/>
      <c r="H37" s="230"/>
    </row>
    <row r="38" spans="1:8" x14ac:dyDescent="0.2">
      <c r="A38" s="228"/>
      <c r="B38" s="229"/>
      <c r="C38" s="229"/>
      <c r="D38" s="229"/>
      <c r="E38" s="229"/>
      <c r="F38" s="229"/>
      <c r="G38" s="229"/>
      <c r="H38" s="230"/>
    </row>
    <row r="39" spans="1:8" x14ac:dyDescent="0.2">
      <c r="A39" s="228"/>
      <c r="B39" s="229"/>
      <c r="C39" s="229"/>
      <c r="D39" s="229"/>
      <c r="E39" s="229"/>
      <c r="F39" s="229"/>
      <c r="G39" s="229"/>
      <c r="H39" s="230"/>
    </row>
    <row r="40" spans="1:8" x14ac:dyDescent="0.2">
      <c r="A40" s="228"/>
      <c r="B40" s="229"/>
      <c r="C40" s="229"/>
      <c r="D40" s="229"/>
      <c r="E40" s="229"/>
      <c r="F40" s="229"/>
      <c r="G40" s="229"/>
      <c r="H40" s="230"/>
    </row>
    <row r="41" spans="1:8" x14ac:dyDescent="0.2">
      <c r="A41" s="228"/>
      <c r="B41" s="229"/>
      <c r="C41" s="229"/>
      <c r="D41" s="229"/>
      <c r="E41" s="229"/>
      <c r="F41" s="229"/>
      <c r="G41" s="229"/>
      <c r="H41" s="230"/>
    </row>
    <row r="42" spans="1:8" x14ac:dyDescent="0.2">
      <c r="A42" s="228"/>
      <c r="B42" s="229"/>
      <c r="C42" s="229"/>
      <c r="D42" s="229"/>
      <c r="E42" s="229"/>
      <c r="F42" s="229"/>
      <c r="G42" s="229"/>
      <c r="H42" s="230"/>
    </row>
    <row r="43" spans="1:8" x14ac:dyDescent="0.2">
      <c r="A43" s="228"/>
      <c r="B43" s="229"/>
      <c r="C43" s="229"/>
      <c r="D43" s="229"/>
      <c r="E43" s="229"/>
      <c r="F43" s="229"/>
      <c r="G43" s="229"/>
      <c r="H43" s="230"/>
    </row>
    <row r="44" spans="1:8" x14ac:dyDescent="0.2">
      <c r="A44" s="228"/>
      <c r="B44" s="229"/>
      <c r="C44" s="229"/>
      <c r="D44" s="229"/>
      <c r="E44" s="229"/>
      <c r="F44" s="229"/>
      <c r="G44" s="229"/>
      <c r="H44" s="230"/>
    </row>
    <row r="45" spans="1:8" x14ac:dyDescent="0.2">
      <c r="A45" s="231"/>
      <c r="B45" s="232"/>
      <c r="C45" s="232"/>
      <c r="D45" s="232"/>
      <c r="E45" s="232"/>
      <c r="F45" s="232"/>
      <c r="G45" s="232"/>
      <c r="H45" s="233"/>
    </row>
    <row r="46" spans="1:8" ht="48" customHeight="1" x14ac:dyDescent="0.2">
      <c r="A46" s="298" t="s">
        <v>2106</v>
      </c>
      <c r="B46" s="299"/>
      <c r="C46" s="299"/>
      <c r="D46" s="299"/>
      <c r="E46" s="299"/>
      <c r="F46" s="299"/>
      <c r="G46" s="299"/>
      <c r="H46" s="300"/>
    </row>
    <row r="47" spans="1:8" s="143" customFormat="1" ht="36" customHeight="1" x14ac:dyDescent="0.2">
      <c r="A47" s="301"/>
      <c r="B47" s="302"/>
      <c r="C47" s="302"/>
      <c r="D47" s="302"/>
      <c r="E47" s="302"/>
      <c r="F47" s="303"/>
      <c r="G47" s="304" t="s">
        <v>2642</v>
      </c>
      <c r="H47" s="305"/>
    </row>
    <row r="48" spans="1:8" s="145" customFormat="1" ht="60" customHeight="1" x14ac:dyDescent="0.2">
      <c r="A48" s="148" t="str">
        <f>'High Risk Non-Compliant'!B4</f>
        <v>ID</v>
      </c>
      <c r="B48" s="311" t="str">
        <f>'High Risk Non-Compliant'!C4</f>
        <v>Question</v>
      </c>
      <c r="C48" s="311"/>
      <c r="D48" s="312" t="str">
        <f>'High Risk Non-Compliant'!D4</f>
        <v>Additional Info</v>
      </c>
      <c r="E48" s="312"/>
      <c r="F48" s="312"/>
      <c r="G48" s="179">
        <f>'Analyst Report'!B10</f>
        <v>0</v>
      </c>
      <c r="H48" s="178" t="e">
        <f>VLOOKUP('Analyst Report'!B10,'Standards Crosswalk'!A316:B322,2)</f>
        <v>#N/A</v>
      </c>
    </row>
    <row r="49" spans="1:8" ht="144" customHeight="1" x14ac:dyDescent="0.2">
      <c r="A49" s="150" t="str">
        <f>'High Risk Non-Compliant'!B5</f>
        <v>DOCU-04</v>
      </c>
      <c r="B49" s="314" t="str">
        <f>'High Risk Non-Compliant'!C5</f>
        <v>Do you conform with a specific industry standard security framework? (e.g. NIST Cybersecurity Framework, ISO 27001, etc.)</v>
      </c>
      <c r="C49" s="314"/>
      <c r="D49" s="313">
        <f>'High Risk Non-Compliant'!D5</f>
        <v>0</v>
      </c>
      <c r="E49" s="313"/>
      <c r="F49" s="313"/>
      <c r="G49" s="149" t="e">
        <f>IF(VLOOKUP(A49,'High Risk Non-Compliant'!B:K,$H$48,FALSE)=0,"N/A",VLOOKUP(A49,'High Risk Non-Compliant'!B:K,$H$48,FALSE))</f>
        <v>#REF!</v>
      </c>
      <c r="H49" s="149" t="e">
        <f>IF(G49="N/A","N/A",VLOOKUP(G49,'Crosswalk Detail'!A:B,2,FALSE))</f>
        <v>#REF!</v>
      </c>
    </row>
    <row r="50" spans="1:8" ht="144" customHeight="1" x14ac:dyDescent="0.2">
      <c r="A50" s="150" t="str">
        <f>'High Risk Non-Compliant'!B6</f>
        <v>DOCU-06</v>
      </c>
      <c r="B50" s="314" t="str">
        <f>'High Risk Non-Compliant'!C6</f>
        <v>Does your organization have a data privacy policy?</v>
      </c>
      <c r="C50" s="314"/>
      <c r="D50" s="313">
        <f>'High Risk Non-Compliant'!D6</f>
        <v>0</v>
      </c>
      <c r="E50" s="313"/>
      <c r="F50" s="313"/>
      <c r="G50" s="149" t="e">
        <f>IF(VLOOKUP(A50,'High Risk Non-Compliant'!B:K,$H$48,FALSE)=0,"N/A",VLOOKUP(A50,'High Risk Non-Compliant'!B:K,$H$48,FALSE))</f>
        <v>#REF!</v>
      </c>
      <c r="H50" s="149" t="e">
        <f>IF(G50="N/A","N/A",VLOOKUP(G50,'Crosswalk Detail'!A:B,2,FALSE))</f>
        <v>#REF!</v>
      </c>
    </row>
    <row r="51" spans="1:8" ht="144" customHeight="1" x14ac:dyDescent="0.2">
      <c r="A51" s="150" t="str">
        <f>'High Risk Non-Compliant'!B7</f>
        <v>THRD-01</v>
      </c>
      <c r="B51" s="314"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314"/>
      <c r="D51" s="313">
        <f>'High Risk Non-Compliant'!D7</f>
        <v>0</v>
      </c>
      <c r="E51" s="313"/>
      <c r="F51" s="313"/>
      <c r="G51" s="149" t="e">
        <f>IF(VLOOKUP(A51,'High Risk Non-Compliant'!B:K,$H$48,FALSE)=0,"N/A",VLOOKUP(A51,'High Risk Non-Compliant'!B:K,$H$48,FALSE))</f>
        <v>#REF!</v>
      </c>
      <c r="H51" s="149" t="e">
        <f>IF(G51="N/A","N/A",VLOOKUP(G51,'Crosswalk Detail'!A:B,2,FALSE))</f>
        <v>#REF!</v>
      </c>
    </row>
    <row r="52" spans="1:8" ht="144" customHeight="1" x14ac:dyDescent="0.2">
      <c r="A52" s="150" t="str">
        <f>'High Risk Non-Compliant'!B8</f>
        <v>THRD-02</v>
      </c>
      <c r="B52" s="314" t="str">
        <f>'High Risk Non-Compliant'!C8</f>
        <v>Provide a brief description for why each of these third parties will have access to institution data.</v>
      </c>
      <c r="C52" s="314"/>
      <c r="D52" s="313">
        <f>'High Risk Non-Compliant'!D8</f>
        <v>0</v>
      </c>
      <c r="E52" s="313"/>
      <c r="F52" s="313"/>
      <c r="G52" s="149" t="e">
        <f>IF(VLOOKUP(A52,'High Risk Non-Compliant'!B:K,$H$48,FALSE)=0,"N/A",VLOOKUP(A52,'High Risk Non-Compliant'!B:K,$H$48,FALSE))</f>
        <v>#REF!</v>
      </c>
      <c r="H52" s="149" t="e">
        <f>IF(G52="N/A","N/A",VLOOKUP(G52,'Crosswalk Detail'!A:B,2,FALSE))</f>
        <v>#REF!</v>
      </c>
    </row>
    <row r="53" spans="1:8" ht="144" customHeight="1" x14ac:dyDescent="0.2">
      <c r="A53" s="150" t="str">
        <f>'High Risk Non-Compliant'!B9</f>
        <v>THRD-03</v>
      </c>
      <c r="B53" s="314" t="str">
        <f>'High Risk Non-Compliant'!C9</f>
        <v>What legal agreements (i.e. contracts) do you have in place with these third parties that address liability in the event of a data breach?</v>
      </c>
      <c r="C53" s="314"/>
      <c r="D53" s="313">
        <f>'High Risk Non-Compliant'!D9</f>
        <v>0</v>
      </c>
      <c r="E53" s="313"/>
      <c r="F53" s="313"/>
      <c r="G53" s="149" t="e">
        <f>IF(VLOOKUP(A53,'High Risk Non-Compliant'!B:K,$H$48,FALSE)=0,"N/A",VLOOKUP(A53,'High Risk Non-Compliant'!B:K,$H$48,FALSE))</f>
        <v>#REF!</v>
      </c>
      <c r="H53" s="149" t="e">
        <f>IF(G53="N/A","N/A",VLOOKUP(G53,'Crosswalk Detail'!A:B,2,FALSE))</f>
        <v>#REF!</v>
      </c>
    </row>
    <row r="54" spans="1:8" ht="144" customHeight="1" x14ac:dyDescent="0.2">
      <c r="A54" s="150" t="str">
        <f>'High Risk Non-Compliant'!B10</f>
        <v>THRD-04</v>
      </c>
      <c r="B54" s="315" t="str">
        <f>'High Risk Non-Compliant'!C10</f>
        <v>Describe or provide references to your third party management strategy or provide additional information that may help analysts better understand your environment and how it relates to third-party solutions.</v>
      </c>
      <c r="C54" s="315"/>
      <c r="D54" s="313">
        <f>'High Risk Non-Compliant'!D10</f>
        <v>0</v>
      </c>
      <c r="E54" s="313"/>
      <c r="F54" s="313"/>
      <c r="G54" s="149" t="e">
        <f>IF(VLOOKUP(A54,'High Risk Non-Compliant'!B:K,$H$48,FALSE)=0,"N/A",VLOOKUP(A54,'High Risk Non-Compliant'!B:K,$H$48,FALSE))</f>
        <v>#REF!</v>
      </c>
      <c r="H54" s="149" t="e">
        <f>IF(G54="N/A","N/A",VLOOKUP(G54,'Crosswalk Detail'!A:B,2,FALSE))</f>
        <v>#REF!</v>
      </c>
    </row>
    <row r="55" spans="1:8" ht="144" customHeight="1" x14ac:dyDescent="0.2">
      <c r="A55" s="150" t="str">
        <f>'High Risk Non-Compliant'!B11</f>
        <v>CONS-03</v>
      </c>
      <c r="B55" s="314" t="str">
        <f>'High Risk Non-Compliant'!C11</f>
        <v>Will the consultant require access to hardware in the Institution's data centers?</v>
      </c>
      <c r="C55" s="314"/>
      <c r="D55" s="313">
        <f>'High Risk Non-Compliant'!D11</f>
        <v>0</v>
      </c>
      <c r="E55" s="313"/>
      <c r="F55" s="313"/>
      <c r="G55" s="149" t="e">
        <f>IF(VLOOKUP(A55,'High Risk Non-Compliant'!B:K,$H$48,FALSE)=0,"N/A",VLOOKUP(A55,'High Risk Non-Compliant'!B:K,$H$48,FALSE))</f>
        <v>#REF!</v>
      </c>
      <c r="H55" s="149" t="e">
        <f>IF(G55="N/A","N/A",VLOOKUP(G55,'Crosswalk Detail'!A:B,2,FALSE))</f>
        <v>#REF!</v>
      </c>
    </row>
    <row r="56" spans="1:8" ht="144" customHeight="1" x14ac:dyDescent="0.2">
      <c r="A56" s="150" t="str">
        <f>'High Risk Non-Compliant'!B12</f>
        <v>CONS-06</v>
      </c>
      <c r="B56" s="314" t="str">
        <f>'High Risk Non-Compliant'!C12</f>
        <v>Will any data be transferred to the consultant's possession?</v>
      </c>
      <c r="C56" s="314"/>
      <c r="D56" s="313">
        <f>'High Risk Non-Compliant'!D12</f>
        <v>0</v>
      </c>
      <c r="E56" s="313"/>
      <c r="F56" s="313"/>
      <c r="G56" s="149" t="e">
        <f>IF(VLOOKUP(A56,'High Risk Non-Compliant'!B:K,$H$48,FALSE)=0,"N/A",VLOOKUP(A56,'High Risk Non-Compliant'!B:K,$H$48,FALSE))</f>
        <v>#REF!</v>
      </c>
      <c r="H56" s="149" t="e">
        <f>IF(G56="N/A","N/A",VLOOKUP(G56,'Crosswalk Detail'!A:B,2,FALSE))</f>
        <v>#REF!</v>
      </c>
    </row>
    <row r="57" spans="1:8" ht="144" customHeight="1" x14ac:dyDescent="0.2">
      <c r="A57" s="150" t="str">
        <f>'High Risk Non-Compliant'!B13</f>
        <v>CONS-08</v>
      </c>
      <c r="B57" s="314" t="str">
        <f>'High Risk Non-Compliant'!C13</f>
        <v>Will the consultant need remote access to the Institution's network or systems?</v>
      </c>
      <c r="C57" s="314"/>
      <c r="D57" s="313">
        <f>'High Risk Non-Compliant'!D13</f>
        <v>0</v>
      </c>
      <c r="E57" s="313"/>
      <c r="F57" s="313"/>
      <c r="G57" s="149" t="e">
        <f>IF(VLOOKUP(A57,'High Risk Non-Compliant'!B:K,$H$48,FALSE)=0,"N/A",VLOOKUP(A57,'High Risk Non-Compliant'!B:K,$H$48,FALSE))</f>
        <v>#REF!</v>
      </c>
      <c r="H57" s="149" t="e">
        <f>IF(G57="N/A","N/A",VLOOKUP(G57,'Crosswalk Detail'!A:B,2,FALSE))</f>
        <v>#REF!</v>
      </c>
    </row>
    <row r="58" spans="1:8" ht="144" customHeight="1" x14ac:dyDescent="0.2">
      <c r="A58" s="150" t="str">
        <f>'High Risk Non-Compliant'!B14</f>
        <v>APPL-01</v>
      </c>
      <c r="B58" s="314" t="str">
        <f>'High Risk Non-Compliant'!C14</f>
        <v>Do you support role-based access control (RBAC) for end-users?</v>
      </c>
      <c r="C58" s="314"/>
      <c r="D58" s="313">
        <f>'High Risk Non-Compliant'!D14</f>
        <v>0</v>
      </c>
      <c r="E58" s="313"/>
      <c r="F58" s="313"/>
      <c r="G58" s="149" t="e">
        <f>IF(VLOOKUP(A58,'High Risk Non-Compliant'!B:K,$H$48,FALSE)=0,"N/A",VLOOKUP(A58,'High Risk Non-Compliant'!B:K,$H$48,FALSE))</f>
        <v>#REF!</v>
      </c>
      <c r="H58" s="149" t="e">
        <f>IF(G58="N/A","N/A",VLOOKUP(G58,'Crosswalk Detail'!A:B,2,FALSE))</f>
        <v>#REF!</v>
      </c>
    </row>
    <row r="59" spans="1:8" ht="144" customHeight="1" x14ac:dyDescent="0.2">
      <c r="A59" s="150" t="str">
        <f>'High Risk Non-Compliant'!B15</f>
        <v>APPL-02</v>
      </c>
      <c r="B59" s="314" t="str">
        <f>'High Risk Non-Compliant'!C15</f>
        <v>Do you support role-based access control (RBAC) for system administrators?</v>
      </c>
      <c r="C59" s="314"/>
      <c r="D59" s="313">
        <f>'High Risk Non-Compliant'!D15</f>
        <v>0</v>
      </c>
      <c r="E59" s="313"/>
      <c r="F59" s="313"/>
      <c r="G59" s="149" t="e">
        <f>IF(VLOOKUP(A59,'High Risk Non-Compliant'!B:K,$H$48,FALSE)=0,"N/A",VLOOKUP(A59,'High Risk Non-Compliant'!B:K,$H$48,FALSE))</f>
        <v>#REF!</v>
      </c>
      <c r="H59" s="149" t="e">
        <f>IF(G59="N/A","N/A",VLOOKUP(G59,'Crosswalk Detail'!A:B,2,FALSE))</f>
        <v>#REF!</v>
      </c>
    </row>
    <row r="60" spans="1:8" ht="144" customHeight="1" x14ac:dyDescent="0.2">
      <c r="A60" s="150" t="str">
        <f>'High Risk Non-Compliant'!B16</f>
        <v>APPL-06</v>
      </c>
      <c r="B60" s="314" t="str">
        <f>'High Risk Non-Compliant'!C16</f>
        <v xml:space="preserve">Do you employ a single-tenant environment? </v>
      </c>
      <c r="C60" s="314"/>
      <c r="D60" s="313">
        <f>'High Risk Non-Compliant'!D16</f>
        <v>0</v>
      </c>
      <c r="E60" s="313"/>
      <c r="F60" s="313"/>
      <c r="G60" s="149" t="e">
        <f>IF(VLOOKUP(A60,'High Risk Non-Compliant'!B:K,$H$48,FALSE)=0,"N/A",VLOOKUP(A60,'High Risk Non-Compliant'!B:K,$H$48,FALSE))</f>
        <v>#REF!</v>
      </c>
      <c r="H60" s="149" t="e">
        <f>IF(G60="N/A","N/A",VLOOKUP(G60,'Crosswalk Detail'!A:B,2,FALSE))</f>
        <v>#REF!</v>
      </c>
    </row>
    <row r="61" spans="1:8" ht="144" customHeight="1" x14ac:dyDescent="0.2">
      <c r="A61" s="150" t="str">
        <f>'High Risk Non-Compliant'!B17</f>
        <v>APPL-08</v>
      </c>
      <c r="B61" s="314" t="str">
        <f>'High Risk Non-Compliant'!C17</f>
        <v>Have you or any third party you contract with that may have access or allow access to the institution's data experienced a breach?</v>
      </c>
      <c r="C61" s="314"/>
      <c r="D61" s="313">
        <f>'High Risk Non-Compliant'!D17</f>
        <v>0</v>
      </c>
      <c r="E61" s="313"/>
      <c r="F61" s="313"/>
      <c r="G61" s="149" t="e">
        <f>IF(VLOOKUP(A61,'High Risk Non-Compliant'!B:K,$H$48,FALSE)=0,"N/A",VLOOKUP(A61,'High Risk Non-Compliant'!B:K,$H$48,FALSE))</f>
        <v>#REF!</v>
      </c>
      <c r="H61" s="149" t="e">
        <f>IF(G61="N/A","N/A",VLOOKUP(G61,'Crosswalk Detail'!A:B,2,FALSE))</f>
        <v>#REF!</v>
      </c>
    </row>
    <row r="62" spans="1:8" ht="144" customHeight="1" x14ac:dyDescent="0.2">
      <c r="A62" s="150" t="str">
        <f>'High Risk Non-Compliant'!B18</f>
        <v>APPL-10</v>
      </c>
      <c r="B62" s="314"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314"/>
      <c r="D62" s="313">
        <f>'High Risk Non-Compliant'!D18</f>
        <v>0</v>
      </c>
      <c r="E62" s="313"/>
      <c r="F62" s="313"/>
      <c r="G62" s="149" t="e">
        <f>IF(VLOOKUP(A62,'High Risk Non-Compliant'!B:K,$H$48,FALSE)=0,"N/A",VLOOKUP(A62,'High Risk Non-Compliant'!B:K,$H$48,FALSE))</f>
        <v>#REF!</v>
      </c>
      <c r="H62" s="149" t="e">
        <f>IF(G62="N/A","N/A",VLOOKUP(G62,'Crosswalk Detail'!A:B,2,FALSE))</f>
        <v>#REF!</v>
      </c>
    </row>
    <row r="63" spans="1:8" ht="144" customHeight="1" x14ac:dyDescent="0.2">
      <c r="A63" s="150" t="str">
        <f>'High Risk Non-Compliant'!B19</f>
        <v>APPL-11</v>
      </c>
      <c r="B63" s="314" t="str">
        <f>'High Risk Non-Compliant'!C19</f>
        <v>Are databases used in the system segregated from front-end systems? (e.g. web and application servers)</v>
      </c>
      <c r="C63" s="314"/>
      <c r="D63" s="313">
        <f>'High Risk Non-Compliant'!D19</f>
        <v>0</v>
      </c>
      <c r="E63" s="313"/>
      <c r="F63" s="313"/>
      <c r="G63" s="149" t="e">
        <f>IF(VLOOKUP(A63,'High Risk Non-Compliant'!B:K,$H$48,FALSE)=0,"N/A",VLOOKUP(A63,'High Risk Non-Compliant'!B:K,$H$48,FALSE))</f>
        <v>#REF!</v>
      </c>
      <c r="H63" s="149" t="e">
        <f>IF(G63="N/A","N/A",VLOOKUP(G63,'Crosswalk Detail'!A:B,2,FALSE))</f>
        <v>#REF!</v>
      </c>
    </row>
    <row r="64" spans="1:8" ht="144" customHeight="1" x14ac:dyDescent="0.2">
      <c r="A64" s="150" t="str">
        <f>'High Risk Non-Compliant'!B20</f>
        <v>APPL-14</v>
      </c>
      <c r="B64" s="314" t="str">
        <f>'High Risk Non-Compliant'!C20</f>
        <v xml:space="preserve">Can your system take advantage of mobile and/or GPS enabled mobile devices?  </v>
      </c>
      <c r="C64" s="314"/>
      <c r="D64" s="313">
        <f>'High Risk Non-Compliant'!D20</f>
        <v>0</v>
      </c>
      <c r="E64" s="313"/>
      <c r="F64" s="313"/>
      <c r="G64" s="149" t="e">
        <f>IF(VLOOKUP(A64,'High Risk Non-Compliant'!B:K,$H$48,FALSE)=0,"N/A",VLOOKUP(A64,'High Risk Non-Compliant'!B:K,$H$48,FALSE))</f>
        <v>#REF!</v>
      </c>
      <c r="H64" s="149" t="e">
        <f>IF(G64="N/A","N/A",VLOOKUP(G64,'Crosswalk Detail'!A:B,2,FALSE))</f>
        <v>#REF!</v>
      </c>
    </row>
    <row r="65" spans="1:8" ht="144" customHeight="1" x14ac:dyDescent="0.2">
      <c r="A65" s="150" t="str">
        <f>'High Risk Non-Compliant'!B21</f>
        <v>APPL-15</v>
      </c>
      <c r="B65" s="314" t="str">
        <f>'High Risk Non-Compliant'!C21</f>
        <v>Describe or provide a reference to the facilities available in the system to provide separation of duties between security administration and system administration functions.</v>
      </c>
      <c r="C65" s="314"/>
      <c r="D65" s="313">
        <f>'High Risk Non-Compliant'!D21</f>
        <v>0</v>
      </c>
      <c r="E65" s="313"/>
      <c r="F65" s="313"/>
      <c r="G65" s="149" t="e">
        <f>IF(VLOOKUP(A65,'High Risk Non-Compliant'!B:K,$H$48,FALSE)=0,"N/A",VLOOKUP(A65,'High Risk Non-Compliant'!B:K,$H$48,FALSE))</f>
        <v>#REF!</v>
      </c>
      <c r="H65" s="149" t="e">
        <f>IF(G65="N/A","N/A",VLOOKUP(G65,'Crosswalk Detail'!A:B,2,FALSE))</f>
        <v>#REF!</v>
      </c>
    </row>
    <row r="66" spans="1:8" ht="144" customHeight="1" x14ac:dyDescent="0.2">
      <c r="A66" s="150" t="str">
        <f>'High Risk Non-Compliant'!B22</f>
        <v>APPL-16</v>
      </c>
      <c r="B66" s="314" t="str">
        <f>'High Risk Non-Compliant'!C22</f>
        <v>Describe or provide a reference that details how administrator access is handled (e.g. provisioning, principle of least privilege, deprovisioning, etc.)</v>
      </c>
      <c r="C66" s="314"/>
      <c r="D66" s="313">
        <f>'High Risk Non-Compliant'!D22</f>
        <v>0</v>
      </c>
      <c r="E66" s="313"/>
      <c r="F66" s="313"/>
      <c r="G66" s="149" t="e">
        <f>IF(VLOOKUP(A66,'High Risk Non-Compliant'!B:K,$H$48,FALSE)=0,"N/A",VLOOKUP(A66,'High Risk Non-Compliant'!B:K,$H$48,FALSE))</f>
        <v>#REF!</v>
      </c>
      <c r="H66" s="149" t="e">
        <f>IF(G66="N/A","N/A",VLOOKUP(G66,'Crosswalk Detail'!A:B,2,FALSE))</f>
        <v>#REF!</v>
      </c>
    </row>
    <row r="67" spans="1:8" ht="144" customHeight="1" x14ac:dyDescent="0.2">
      <c r="A67" s="150" t="str">
        <f>'High Risk Non-Compliant'!B23</f>
        <v>AAAI-01</v>
      </c>
      <c r="B67" s="314" t="str">
        <f>'High Risk Non-Compliant'!C23</f>
        <v>Can you enforce password/passphrase aging requirements?</v>
      </c>
      <c r="C67" s="314"/>
      <c r="D67" s="313">
        <f>'High Risk Non-Compliant'!D23</f>
        <v>0</v>
      </c>
      <c r="E67" s="313"/>
      <c r="F67" s="313"/>
      <c r="G67" s="149" t="e">
        <f>IF(VLOOKUP(A67,'High Risk Non-Compliant'!B:K,$H$48,FALSE)=0,"N/A",VLOOKUP(A67,'High Risk Non-Compliant'!B:K,$H$48,FALSE))</f>
        <v>#REF!</v>
      </c>
      <c r="H67" s="149" t="e">
        <f>IF(G67="N/A","N/A",VLOOKUP(G67,'Crosswalk Detail'!A:B,2,FALSE))</f>
        <v>#REF!</v>
      </c>
    </row>
    <row r="68" spans="1:8" ht="144" customHeight="1" x14ac:dyDescent="0.2">
      <c r="A68" s="150" t="str">
        <f>'High Risk Non-Compliant'!B24</f>
        <v>AAAI-02</v>
      </c>
      <c r="B68" s="314" t="str">
        <f>'High Risk Non-Compliant'!C24</f>
        <v>Can you enforce password/passphrase complexity requirements [provided by the institution]?</v>
      </c>
      <c r="C68" s="314"/>
      <c r="D68" s="313">
        <f>'High Risk Non-Compliant'!D24</f>
        <v>0</v>
      </c>
      <c r="E68" s="313"/>
      <c r="F68" s="313"/>
      <c r="G68" s="149" t="e">
        <f>IF(VLOOKUP(A68,'High Risk Non-Compliant'!B:K,$H$48,FALSE)=0,"N/A",VLOOKUP(A68,'High Risk Non-Compliant'!B:K,$H$48,FALSE))</f>
        <v>#REF!</v>
      </c>
      <c r="H68" s="149" t="e">
        <f>IF(G68="N/A","N/A",VLOOKUP(G68,'Crosswalk Detail'!A:B,2,FALSE))</f>
        <v>#REF!</v>
      </c>
    </row>
    <row r="69" spans="1:8" ht="144" customHeight="1" x14ac:dyDescent="0.2">
      <c r="A69" s="150" t="str">
        <f>'High Risk Non-Compliant'!B25</f>
        <v>AAAI-03</v>
      </c>
      <c r="B69" s="314" t="str">
        <f>'High Risk Non-Compliant'!C25</f>
        <v>Does the system have password complexity or length limitations and/or restrictions?</v>
      </c>
      <c r="C69" s="314"/>
      <c r="D69" s="313">
        <f>'High Risk Non-Compliant'!D25</f>
        <v>0</v>
      </c>
      <c r="E69" s="313"/>
      <c r="F69" s="313"/>
      <c r="G69" s="149" t="e">
        <f>IF(VLOOKUP(A69,'High Risk Non-Compliant'!B:K,$H$48,FALSE)=0,"N/A",VLOOKUP(A69,'High Risk Non-Compliant'!B:K,$H$48,FALSE))</f>
        <v>#REF!</v>
      </c>
      <c r="H69" s="149" t="e">
        <f>IF(G69="N/A","N/A",VLOOKUP(G69,'Crosswalk Detail'!A:B,2,FALSE))</f>
        <v>#REF!</v>
      </c>
    </row>
    <row r="70" spans="1:8" ht="144" customHeight="1" x14ac:dyDescent="0.2">
      <c r="A70" s="150" t="str">
        <f>'High Risk Non-Compliant'!B26</f>
        <v>AAAI-05</v>
      </c>
      <c r="B70" s="314" t="str">
        <f>'High Risk Non-Compliant'!C26</f>
        <v>Does your web-based interface support authentication, including standards-based single-sign-on? (e.g. InCommon)</v>
      </c>
      <c r="C70" s="314"/>
      <c r="D70" s="313">
        <f>'High Risk Non-Compliant'!D26</f>
        <v>0</v>
      </c>
      <c r="E70" s="313"/>
      <c r="F70" s="313"/>
      <c r="G70" s="149" t="e">
        <f>IF(VLOOKUP(A70,'High Risk Non-Compliant'!B:K,$H$48,FALSE)=0,"N/A",VLOOKUP(A70,'High Risk Non-Compliant'!B:K,$H$48,FALSE))</f>
        <v>#REF!</v>
      </c>
      <c r="H70" s="149" t="e">
        <f>IF(G70="N/A","N/A",VLOOKUP(G70,'Crosswalk Detail'!A:B,2,FALSE))</f>
        <v>#REF!</v>
      </c>
    </row>
    <row r="71" spans="1:8" ht="144" customHeight="1" x14ac:dyDescent="0.2">
      <c r="A71" s="150" t="str">
        <f>'High Risk Non-Compliant'!B27</f>
        <v>AAAI-06</v>
      </c>
      <c r="B71" s="314" t="str">
        <f>'High Risk Non-Compliant'!C27</f>
        <v>Are there any passwords/passphrases hard coded into your systems or products?</v>
      </c>
      <c r="C71" s="314"/>
      <c r="D71" s="313">
        <f>'High Risk Non-Compliant'!D27</f>
        <v>0</v>
      </c>
      <c r="E71" s="313"/>
      <c r="F71" s="313"/>
      <c r="G71" s="149" t="e">
        <f>IF(VLOOKUP(A71,'High Risk Non-Compliant'!B:K,$H$48,FALSE)=0,"N/A",VLOOKUP(A71,'High Risk Non-Compliant'!B:K,$H$48,FALSE))</f>
        <v>#REF!</v>
      </c>
      <c r="H71" s="149" t="e">
        <f>IF(G71="N/A","N/A",VLOOKUP(G71,'Crosswalk Detail'!A:B,2,FALSE))</f>
        <v>#REF!</v>
      </c>
    </row>
    <row r="72" spans="1:8" ht="144" customHeight="1" x14ac:dyDescent="0.2">
      <c r="A72" s="150" t="str">
        <f>'High Risk Non-Compliant'!B28</f>
        <v>AAAI-07</v>
      </c>
      <c r="B72" s="314" t="str">
        <f>'High Risk Non-Compliant'!C28</f>
        <v>Are user account passwords/passphrases visible in administration modules?</v>
      </c>
      <c r="C72" s="314"/>
      <c r="D72" s="313">
        <f>'High Risk Non-Compliant'!D28</f>
        <v>0</v>
      </c>
      <c r="E72" s="313"/>
      <c r="F72" s="313"/>
      <c r="G72" s="149" t="e">
        <f>IF(VLOOKUP(A72,'High Risk Non-Compliant'!B:K,$H$48,FALSE)=0,"N/A",VLOOKUP(A72,'High Risk Non-Compliant'!B:K,$H$48,FALSE))</f>
        <v>#REF!</v>
      </c>
      <c r="H72" s="149" t="e">
        <f>IF(G72="N/A","N/A",VLOOKUP(G72,'Crosswalk Detail'!A:B,2,FALSE))</f>
        <v>#REF!</v>
      </c>
    </row>
    <row r="73" spans="1:8" ht="144" customHeight="1" x14ac:dyDescent="0.2">
      <c r="A73" s="150" t="str">
        <f>'High Risk Non-Compliant'!B29</f>
        <v>AAAI-08</v>
      </c>
      <c r="B73" s="314" t="str">
        <f>'High Risk Non-Compliant'!C29</f>
        <v>Are user account passwords/passphrases stored encrypted?</v>
      </c>
      <c r="C73" s="314"/>
      <c r="D73" s="313">
        <f>'High Risk Non-Compliant'!D29</f>
        <v>0</v>
      </c>
      <c r="E73" s="313"/>
      <c r="F73" s="313"/>
      <c r="G73" s="149" t="e">
        <f>IF(VLOOKUP(A73,'High Risk Non-Compliant'!B:K,$H$48,FALSE)=0,"N/A",VLOOKUP(A73,'High Risk Non-Compliant'!B:K,$H$48,FALSE))</f>
        <v>#REF!</v>
      </c>
      <c r="H73" s="149" t="e">
        <f>IF(G73="N/A","N/A",VLOOKUP(G73,'Crosswalk Detail'!A:B,2,FALSE))</f>
        <v>#REF!</v>
      </c>
    </row>
    <row r="74" spans="1:8" ht="144" customHeight="1" x14ac:dyDescent="0.2">
      <c r="A74" s="150" t="str">
        <f>'High Risk Non-Compliant'!B30</f>
        <v>AAAI-11</v>
      </c>
      <c r="B74" s="314" t="str">
        <f>'High Risk Non-Compliant'!C30</f>
        <v>Will any external authentication or authorization system be utilized by an application with access to the institution's data?</v>
      </c>
      <c r="C74" s="314"/>
      <c r="D74" s="313">
        <f>'High Risk Non-Compliant'!D30</f>
        <v>0</v>
      </c>
      <c r="E74" s="313"/>
      <c r="F74" s="313"/>
      <c r="G74" s="149" t="e">
        <f>IF(VLOOKUP(A74,'High Risk Non-Compliant'!B:K,$H$48,FALSE)=0,"N/A",VLOOKUP(A74,'High Risk Non-Compliant'!B:K,$H$48,FALSE))</f>
        <v>#REF!</v>
      </c>
      <c r="H74" s="149" t="e">
        <f>IF(G74="N/A","N/A",VLOOKUP(G74,'Crosswalk Detail'!A:B,2,FALSE))</f>
        <v>#REF!</v>
      </c>
    </row>
    <row r="75" spans="1:8" ht="144" customHeight="1" x14ac:dyDescent="0.2">
      <c r="A75" s="150" t="str">
        <f>'High Risk Non-Compliant'!B31</f>
        <v>AAAI-13</v>
      </c>
      <c r="B75" s="314" t="str">
        <f>'High Risk Non-Compliant'!C31</f>
        <v>Does the system operate in a mixed authentication mode (i.e. external and local authentication)?</v>
      </c>
      <c r="C75" s="314"/>
      <c r="D75" s="313">
        <f>'High Risk Non-Compliant'!D31</f>
        <v>0</v>
      </c>
      <c r="E75" s="313"/>
      <c r="F75" s="313"/>
      <c r="G75" s="149" t="e">
        <f>IF(VLOOKUP(A75,'High Risk Non-Compliant'!B:K,$H$48,FALSE)=0,"N/A",VLOOKUP(A75,'High Risk Non-Compliant'!B:K,$H$48,FALSE))</f>
        <v>#REF!</v>
      </c>
      <c r="H75" s="149" t="e">
        <f>IF(G75="N/A","N/A",VLOOKUP(G75,'Crosswalk Detail'!A:B,2,FALSE))</f>
        <v>#REF!</v>
      </c>
    </row>
    <row r="76" spans="1:8" ht="144" customHeight="1" x14ac:dyDescent="0.2">
      <c r="A76" s="150" t="str">
        <f>'High Risk Non-Compliant'!B32</f>
        <v>AAAI-14</v>
      </c>
      <c r="B76" s="314" t="str">
        <f>'High Risk Non-Compliant'!C32</f>
        <v>Will any external authentication or authorization system be utilized by a system with access to institution data?</v>
      </c>
      <c r="C76" s="314"/>
      <c r="D76" s="313">
        <f>'High Risk Non-Compliant'!D32</f>
        <v>0</v>
      </c>
      <c r="E76" s="313"/>
      <c r="F76" s="313"/>
      <c r="G76" s="149" t="e">
        <f>IF(VLOOKUP(A76,'High Risk Non-Compliant'!B:K,$H$48,FALSE)=0,"N/A",VLOOKUP(A76,'High Risk Non-Compliant'!B:K,$H$48,FALSE))</f>
        <v>#REF!</v>
      </c>
      <c r="H76" s="149" t="e">
        <f>IF(G76="N/A","N/A",VLOOKUP(G76,'Crosswalk Detail'!A:B,2,FALSE))</f>
        <v>#REF!</v>
      </c>
    </row>
    <row r="77" spans="1:8" ht="144" customHeight="1" x14ac:dyDescent="0.2">
      <c r="A77" s="150" t="str">
        <f>'High Risk Non-Compliant'!B33</f>
        <v>AAAI-15</v>
      </c>
      <c r="B77" s="314" t="str">
        <f>'High Risk Non-Compliant'!C33</f>
        <v>Are audit logs available that include AT LEAST all of the following; login, logout, actions performed, and source IP address?</v>
      </c>
      <c r="C77" s="314"/>
      <c r="D77" s="313">
        <f>'High Risk Non-Compliant'!D33</f>
        <v>0</v>
      </c>
      <c r="E77" s="313"/>
      <c r="F77" s="313"/>
      <c r="G77" s="149" t="e">
        <f>IF(VLOOKUP(A77,'High Risk Non-Compliant'!B:K,$H$48,FALSE)=0,"N/A",VLOOKUP(A77,'High Risk Non-Compliant'!B:K,$H$48,FALSE))</f>
        <v>#REF!</v>
      </c>
      <c r="H77" s="149" t="e">
        <f>IF(G77="N/A","N/A",VLOOKUP(G77,'Crosswalk Detail'!A:B,2,FALSE))</f>
        <v>#REF!</v>
      </c>
    </row>
    <row r="78" spans="1:8" ht="144" customHeight="1" x14ac:dyDescent="0.2">
      <c r="A78" s="150" t="str">
        <f>'High Risk Non-Compliant'!B34</f>
        <v>AAAI-16</v>
      </c>
      <c r="B78" s="314"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314"/>
      <c r="D78" s="313">
        <f>'High Risk Non-Compliant'!D34</f>
        <v>0</v>
      </c>
      <c r="E78" s="313"/>
      <c r="F78" s="313"/>
      <c r="G78" s="149" t="e">
        <f>IF(VLOOKUP(A78,'High Risk Non-Compliant'!B:K,$H$48,FALSE)=0,"N/A",VLOOKUP(A78,'High Risk Non-Compliant'!B:K,$H$48,FALSE))</f>
        <v>#REF!</v>
      </c>
      <c r="H78" s="149" t="e">
        <f>IF(G78="N/A","N/A",VLOOKUP(G78,'Crosswalk Detail'!A:B,2,FALSE))</f>
        <v>#REF!</v>
      </c>
    </row>
    <row r="79" spans="1:8" ht="144" customHeight="1" x14ac:dyDescent="0.2">
      <c r="A79" s="150" t="str">
        <f>'High Risk Non-Compliant'!B35</f>
        <v>BCPL-01</v>
      </c>
      <c r="B79" s="314" t="str">
        <f>'High Risk Non-Compliant'!C35</f>
        <v>Describe or provide a reference to your Business Continuity Plan (BCP).</v>
      </c>
      <c r="C79" s="314"/>
      <c r="D79" s="313">
        <f>'High Risk Non-Compliant'!D35</f>
        <v>0</v>
      </c>
      <c r="E79" s="313"/>
      <c r="F79" s="313"/>
      <c r="G79" s="149" t="e">
        <f>IF(VLOOKUP(A79,'High Risk Non-Compliant'!B:K,$H$48,FALSE)=0,"N/A",VLOOKUP(A79,'High Risk Non-Compliant'!B:K,$H$48,FALSE))</f>
        <v>#REF!</v>
      </c>
      <c r="H79" s="149" t="e">
        <f>IF(G79="N/A","N/A",VLOOKUP(G79,'Crosswalk Detail'!A:B,2,FALSE))</f>
        <v>#REF!</v>
      </c>
    </row>
    <row r="80" spans="1:8" ht="144" customHeight="1" x14ac:dyDescent="0.2">
      <c r="A80" s="150" t="str">
        <f>'High Risk Non-Compliant'!B36</f>
        <v>BCPL-06</v>
      </c>
      <c r="B80" s="314" t="str">
        <f>'High Risk Non-Compliant'!C36</f>
        <v xml:space="preserve">Are all components of the BCP reviewed at least annually and updated as needed to reflect change? </v>
      </c>
      <c r="C80" s="314"/>
      <c r="D80" s="313">
        <f>'High Risk Non-Compliant'!D36</f>
        <v>0</v>
      </c>
      <c r="E80" s="313"/>
      <c r="F80" s="313"/>
      <c r="G80" s="149" t="e">
        <f>IF(VLOOKUP(A80,'High Risk Non-Compliant'!B:K,$H$48,FALSE)=0,"N/A",VLOOKUP(A80,'High Risk Non-Compliant'!B:K,$H$48,FALSE))</f>
        <v>#REF!</v>
      </c>
      <c r="H80" s="149" t="e">
        <f>IF(G80="N/A","N/A",VLOOKUP(G80,'Crosswalk Detail'!A:B,2,FALSE))</f>
        <v>#REF!</v>
      </c>
    </row>
    <row r="81" spans="1:8" ht="144" customHeight="1" x14ac:dyDescent="0.2">
      <c r="A81" s="150" t="str">
        <f>'High Risk Non-Compliant'!B37</f>
        <v>BCPL-07</v>
      </c>
      <c r="B81" s="314" t="str">
        <f>'High Risk Non-Compliant'!C37</f>
        <v xml:space="preserve">Has your BCP been tested in the last year? </v>
      </c>
      <c r="C81" s="314"/>
      <c r="D81" s="313">
        <f>'High Risk Non-Compliant'!D37</f>
        <v>0</v>
      </c>
      <c r="E81" s="313"/>
      <c r="F81" s="313"/>
      <c r="G81" s="149" t="e">
        <f>IF(VLOOKUP(A81,'High Risk Non-Compliant'!B:K,$H$48,FALSE)=0,"N/A",VLOOKUP(A81,'High Risk Non-Compliant'!B:K,$H$48,FALSE))</f>
        <v>#REF!</v>
      </c>
      <c r="H81" s="149" t="e">
        <f>IF(G81="N/A","N/A",VLOOKUP(G81,'Crosswalk Detail'!A:B,2,FALSE))</f>
        <v>#REF!</v>
      </c>
    </row>
    <row r="82" spans="1:8" ht="144" customHeight="1" x14ac:dyDescent="0.2">
      <c r="A82" s="150" t="str">
        <f>'High Risk Non-Compliant'!B38</f>
        <v>CHNG-01</v>
      </c>
      <c r="B82" s="314" t="str">
        <f>'High Risk Non-Compliant'!C38</f>
        <v xml:space="preserve">Do you have a documented and currently followed change management process (CMP)? </v>
      </c>
      <c r="C82" s="314"/>
      <c r="D82" s="313">
        <f>'High Risk Non-Compliant'!D38</f>
        <v>0</v>
      </c>
      <c r="E82" s="313"/>
      <c r="F82" s="313"/>
      <c r="G82" s="149" t="e">
        <f>IF(VLOOKUP(A82,'High Risk Non-Compliant'!B:K,$H$48,FALSE)=0,"N/A",VLOOKUP(A82,'High Risk Non-Compliant'!B:K,$H$48,FALSE))</f>
        <v>#REF!</v>
      </c>
      <c r="H82" s="149" t="e">
        <f>IF(G82="N/A","N/A",VLOOKUP(G82,'Crosswalk Detail'!A:B,2,FALSE))</f>
        <v>#REF!</v>
      </c>
    </row>
    <row r="83" spans="1:8" ht="144" customHeight="1" x14ac:dyDescent="0.2">
      <c r="A83" s="150" t="str">
        <f>'High Risk Non-Compliant'!B39</f>
        <v>CHNG-05</v>
      </c>
      <c r="B83" s="314" t="str">
        <f>'High Risk Non-Compliant'!C39</f>
        <v>Describe or provide a reference to your solution support strategy in relation to maintaining software currency. (i.e. how many concurrent versions are you willing to run and support?)</v>
      </c>
      <c r="C83" s="314"/>
      <c r="D83" s="313">
        <f>'High Risk Non-Compliant'!D39</f>
        <v>0</v>
      </c>
      <c r="E83" s="313"/>
      <c r="F83" s="313"/>
      <c r="G83" s="149" t="e">
        <f>IF(VLOOKUP(A83,'High Risk Non-Compliant'!B:K,$H$48,FALSE)=0,"N/A",VLOOKUP(A83,'High Risk Non-Compliant'!B:K,$H$48,FALSE))</f>
        <v>#REF!</v>
      </c>
      <c r="H83" s="149" t="e">
        <f>IF(G83="N/A","N/A",VLOOKUP(G83,'Crosswalk Detail'!A:B,2,FALSE))</f>
        <v>#REF!</v>
      </c>
    </row>
    <row r="84" spans="1:8" ht="144" customHeight="1" x14ac:dyDescent="0.2">
      <c r="A84" s="150" t="str">
        <f>'High Risk Non-Compliant'!B40</f>
        <v>CHNG-08</v>
      </c>
      <c r="B84" s="314"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314"/>
      <c r="D84" s="313">
        <f>'High Risk Non-Compliant'!D40</f>
        <v>0</v>
      </c>
      <c r="E84" s="313"/>
      <c r="F84" s="313"/>
      <c r="G84" s="149" t="e">
        <f>IF(VLOOKUP(A84,'High Risk Non-Compliant'!B:K,$H$48,FALSE)=0,"N/A",VLOOKUP(A84,'High Risk Non-Compliant'!B:K,$H$48,FALSE))</f>
        <v>#REF!</v>
      </c>
      <c r="H84" s="149" t="e">
        <f>IF(G84="N/A","N/A",VLOOKUP(G84,'Crosswalk Detail'!A:B,2,FALSE))</f>
        <v>#REF!</v>
      </c>
    </row>
    <row r="85" spans="1:8" ht="144" customHeight="1" x14ac:dyDescent="0.2">
      <c r="A85" s="150" t="str">
        <f>'High Risk Non-Compliant'!B41</f>
        <v>DATA-01</v>
      </c>
      <c r="B85" s="314" t="str">
        <f>'High Risk Non-Compliant'!C41</f>
        <v>Do you physically and logically separate Institution's data from that of other customers?</v>
      </c>
      <c r="C85" s="314"/>
      <c r="D85" s="313">
        <f>'High Risk Non-Compliant'!D41</f>
        <v>0</v>
      </c>
      <c r="E85" s="313"/>
      <c r="F85" s="313"/>
      <c r="G85" s="149" t="e">
        <f>IF(VLOOKUP(A85,'High Risk Non-Compliant'!B:K,$H$48,FALSE)=0,"N/A",VLOOKUP(A85,'High Risk Non-Compliant'!B:K,$H$48,FALSE))</f>
        <v>#REF!</v>
      </c>
      <c r="H85" s="149" t="e">
        <f>IF(G85="N/A","N/A",VLOOKUP(G85,'Crosswalk Detail'!A:B,2,FALSE))</f>
        <v>#REF!</v>
      </c>
    </row>
    <row r="86" spans="1:8" ht="144" customHeight="1" x14ac:dyDescent="0.2">
      <c r="A86" s="150" t="str">
        <f>'High Risk Non-Compliant'!B42</f>
        <v>DATA-03</v>
      </c>
      <c r="B86" s="314" t="str">
        <f>'High Risk Non-Compliant'!C42</f>
        <v>Is sensitive data encrypted in transport? (e.g. system-to-client)</v>
      </c>
      <c r="C86" s="314"/>
      <c r="D86" s="313">
        <f>'High Risk Non-Compliant'!D42</f>
        <v>0</v>
      </c>
      <c r="E86" s="313"/>
      <c r="F86" s="313"/>
      <c r="G86" s="149" t="e">
        <f>IF(VLOOKUP(A86,'High Risk Non-Compliant'!B:K,$H$48,FALSE)=0,"N/A",VLOOKUP(A86,'High Risk Non-Compliant'!B:K,$H$48,FALSE))</f>
        <v>#REF!</v>
      </c>
      <c r="H86" s="149" t="e">
        <f>IF(G86="N/A","N/A",VLOOKUP(G86,'Crosswalk Detail'!A:B,2,FALSE))</f>
        <v>#REF!</v>
      </c>
    </row>
    <row r="87" spans="1:8" ht="144" customHeight="1" x14ac:dyDescent="0.2">
      <c r="A87" s="150" t="str">
        <f>'High Risk Non-Compliant'!B43</f>
        <v>DATA-04</v>
      </c>
      <c r="B87" s="314" t="str">
        <f>'High Risk Non-Compliant'!C43</f>
        <v>Is sensitive data encrypted in storage (e.g. disk encryption, at-rest)?</v>
      </c>
      <c r="C87" s="314"/>
      <c r="D87" s="313">
        <f>'High Risk Non-Compliant'!D43</f>
        <v>0</v>
      </c>
      <c r="E87" s="313"/>
      <c r="F87" s="313"/>
      <c r="G87" s="149" t="e">
        <f>IF(VLOOKUP(A87,'High Risk Non-Compliant'!B:K,$H$48,FALSE)=0,"N/A",VLOOKUP(A87,'High Risk Non-Compliant'!B:K,$H$48,FALSE))</f>
        <v>#REF!</v>
      </c>
      <c r="H87" s="149" t="e">
        <f>IF(G87="N/A","N/A",VLOOKUP(G87,'Crosswalk Detail'!A:B,2,FALSE))</f>
        <v>#REF!</v>
      </c>
    </row>
    <row r="88" spans="1:8" ht="144" customHeight="1" x14ac:dyDescent="0.2">
      <c r="A88" s="150" t="str">
        <f>'High Risk Non-Compliant'!B44</f>
        <v>DATA-05</v>
      </c>
      <c r="B88" s="314" t="str">
        <f>'High Risk Non-Compliant'!C44</f>
        <v>Do you employ or allow any cryptographic modules that do not conform to the Federal Information Processing Standards (FIPS PUB 140-2)?</v>
      </c>
      <c r="C88" s="314"/>
      <c r="D88" s="313">
        <f>'High Risk Non-Compliant'!D44</f>
        <v>0</v>
      </c>
      <c r="E88" s="313"/>
      <c r="F88" s="313"/>
      <c r="G88" s="149" t="e">
        <f>IF(VLOOKUP(A88,'High Risk Non-Compliant'!B:K,$H$48,FALSE)=0,"N/A",VLOOKUP(A88,'High Risk Non-Compliant'!B:K,$H$48,FALSE))</f>
        <v>#REF!</v>
      </c>
      <c r="H88" s="149" t="e">
        <f>IF(G88="N/A","N/A",VLOOKUP(G88,'Crosswalk Detail'!A:B,2,FALSE))</f>
        <v>#REF!</v>
      </c>
    </row>
    <row r="89" spans="1:8" ht="144" customHeight="1" x14ac:dyDescent="0.2">
      <c r="A89" s="150" t="str">
        <f>'High Risk Non-Compliant'!B45</f>
        <v>DATA-06</v>
      </c>
      <c r="B89" s="314" t="str">
        <f>'High Risk Non-Compliant'!C45</f>
        <v>Does your system employ encryption technologies when transmitting sensitive information over TCP/IP networks (e.g., SSH, SSL/TLS, VPN)? (e.g. system-to-system and system-to-client)</v>
      </c>
      <c r="C89" s="314"/>
      <c r="D89" s="313">
        <f>'High Risk Non-Compliant'!D45</f>
        <v>0</v>
      </c>
      <c r="E89" s="313"/>
      <c r="F89" s="313"/>
      <c r="G89" s="149" t="e">
        <f>IF(VLOOKUP(A89,'High Risk Non-Compliant'!B:K,$H$48,FALSE)=0,"N/A",VLOOKUP(A89,'High Risk Non-Compliant'!B:K,$H$48,FALSE))</f>
        <v>#REF!</v>
      </c>
      <c r="H89" s="149" t="e">
        <f>IF(G89="N/A","N/A",VLOOKUP(G89,'Crosswalk Detail'!A:B,2,FALSE))</f>
        <v>#REF!</v>
      </c>
    </row>
    <row r="90" spans="1:8" ht="144" customHeight="1" x14ac:dyDescent="0.2">
      <c r="A90" s="150" t="str">
        <f>'High Risk Non-Compliant'!B46</f>
        <v>DATA-08</v>
      </c>
      <c r="B90" s="314" t="str">
        <f>'High Risk Non-Compliant'!C46</f>
        <v>At the completion of this contract, will data be returned to the institution?</v>
      </c>
      <c r="C90" s="314"/>
      <c r="D90" s="313">
        <f>'High Risk Non-Compliant'!D46</f>
        <v>0</v>
      </c>
      <c r="E90" s="313"/>
      <c r="F90" s="313"/>
      <c r="G90" s="149" t="e">
        <f>IF(VLOOKUP(A90,'High Risk Non-Compliant'!B:K,$H$48,FALSE)=0,"N/A",VLOOKUP(A90,'High Risk Non-Compliant'!B:K,$H$48,FALSE))</f>
        <v>#REF!</v>
      </c>
      <c r="H90" s="149" t="e">
        <f>IF(G90="N/A","N/A",VLOOKUP(G90,'Crosswalk Detail'!A:B,2,FALSE))</f>
        <v>#REF!</v>
      </c>
    </row>
    <row r="91" spans="1:8" ht="144" customHeight="1" x14ac:dyDescent="0.2">
      <c r="A91" s="150" t="str">
        <f>'High Risk Non-Compliant'!B47</f>
        <v>DATA-11</v>
      </c>
      <c r="B91" s="314" t="str">
        <f>'High Risk Non-Compliant'!C47</f>
        <v>Are ownership rights to all data, inputs, outputs, and metadata retained by the institution?</v>
      </c>
      <c r="C91" s="314"/>
      <c r="D91" s="313">
        <f>'High Risk Non-Compliant'!D47</f>
        <v>0</v>
      </c>
      <c r="E91" s="313"/>
      <c r="F91" s="313"/>
      <c r="G91" s="149" t="e">
        <f>IF(VLOOKUP(A91,'High Risk Non-Compliant'!B:K,$H$48,FALSE)=0,"N/A",VLOOKUP(A91,'High Risk Non-Compliant'!B:K,$H$48,FALSE))</f>
        <v>#REF!</v>
      </c>
      <c r="H91" s="149" t="e">
        <f>IF(G91="N/A","N/A",VLOOKUP(G91,'Crosswalk Detail'!A:B,2,FALSE))</f>
        <v>#REF!</v>
      </c>
    </row>
    <row r="92" spans="1:8" ht="144" customHeight="1" x14ac:dyDescent="0.2">
      <c r="A92" s="150" t="str">
        <f>'High Risk Non-Compliant'!B48</f>
        <v>DATA-17</v>
      </c>
      <c r="B92" s="314" t="str">
        <f>'High Risk Non-Compliant'!C48</f>
        <v>Are data backups encrypted?</v>
      </c>
      <c r="C92" s="314"/>
      <c r="D92" s="313">
        <f>'High Risk Non-Compliant'!D48</f>
        <v>0</v>
      </c>
      <c r="E92" s="313"/>
      <c r="F92" s="313"/>
      <c r="G92" s="149" t="e">
        <f>IF(VLOOKUP(A92,'High Risk Non-Compliant'!B:K,$H$48,FALSE)=0,"N/A",VLOOKUP(A92,'High Risk Non-Compliant'!B:K,$H$48,FALSE))</f>
        <v>#REF!</v>
      </c>
      <c r="H92" s="149" t="e">
        <f>IF(G92="N/A","N/A",VLOOKUP(G92,'Crosswalk Detail'!A:B,2,FALSE))</f>
        <v>#REF!</v>
      </c>
    </row>
    <row r="93" spans="1:8" ht="144" customHeight="1" x14ac:dyDescent="0.2">
      <c r="A93" s="150" t="str">
        <f>'High Risk Non-Compliant'!B49</f>
        <v>DATA-23</v>
      </c>
      <c r="B93" s="314" t="str">
        <f>'High Risk Non-Compliant'!C49</f>
        <v>Do you have a media handling process, that is documented and currently implemented, including end-of-life, repurposing, and data sanitization procedures?</v>
      </c>
      <c r="C93" s="314"/>
      <c r="D93" s="313">
        <f>'High Risk Non-Compliant'!D49</f>
        <v>0</v>
      </c>
      <c r="E93" s="313"/>
      <c r="F93" s="313"/>
      <c r="G93" s="149" t="e">
        <f>IF(VLOOKUP(A93,'High Risk Non-Compliant'!B:K,$H$48,FALSE)=0,"N/A",VLOOKUP(A93,'High Risk Non-Compliant'!B:K,$H$48,FALSE))</f>
        <v>#REF!</v>
      </c>
      <c r="H93" s="149" t="e">
        <f>IF(G93="N/A","N/A",VLOOKUP(G93,'Crosswalk Detail'!A:B,2,FALSE))</f>
        <v>#REF!</v>
      </c>
    </row>
    <row r="94" spans="1:8" ht="144" customHeight="1" x14ac:dyDescent="0.2">
      <c r="A94" s="150" t="str">
        <f>'High Risk Non-Compliant'!B50</f>
        <v>DATA-28</v>
      </c>
      <c r="B94" s="314" t="str">
        <f>'High Risk Non-Compliant'!C50</f>
        <v>Is any institution data visible in system administration modules/tools?</v>
      </c>
      <c r="C94" s="314"/>
      <c r="D94" s="313">
        <f>'High Risk Non-Compliant'!D50</f>
        <v>0</v>
      </c>
      <c r="E94" s="313"/>
      <c r="F94" s="313"/>
      <c r="G94" s="149" t="e">
        <f>IF(VLOOKUP(A94,'High Risk Non-Compliant'!B:K,$H$48,FALSE)=0,"N/A",VLOOKUP(A94,'High Risk Non-Compliant'!B:K,$H$48,FALSE))</f>
        <v>#REF!</v>
      </c>
      <c r="H94" s="149" t="e">
        <f>IF(G94="N/A","N/A",VLOOKUP(G94,'Crosswalk Detail'!A:B,2,FALSE))</f>
        <v>#REF!</v>
      </c>
    </row>
    <row r="95" spans="1:8" ht="144" customHeight="1" x14ac:dyDescent="0.2">
      <c r="A95" s="150" t="str">
        <f>'High Risk Non-Compliant'!B51</f>
        <v>DBAS-01</v>
      </c>
      <c r="B95" s="314" t="str">
        <f>'High Risk Non-Compliant'!C51</f>
        <v>Does the database support encryption of specified data elements in storage?</v>
      </c>
      <c r="C95" s="314"/>
      <c r="D95" s="313">
        <f>'High Risk Non-Compliant'!D51</f>
        <v>0</v>
      </c>
      <c r="E95" s="313"/>
      <c r="F95" s="313"/>
      <c r="G95" s="149" t="e">
        <f>IF(VLOOKUP(A95,'High Risk Non-Compliant'!B:K,$H$48,FALSE)=0,"N/A",VLOOKUP(A95,'High Risk Non-Compliant'!B:K,$H$48,FALSE))</f>
        <v>#REF!</v>
      </c>
      <c r="H95" s="149" t="e">
        <f>IF(G95="N/A","N/A",VLOOKUP(G95,'Crosswalk Detail'!A:B,2,FALSE))</f>
        <v>#REF!</v>
      </c>
    </row>
    <row r="96" spans="1:8" ht="144" customHeight="1" x14ac:dyDescent="0.2">
      <c r="A96" s="150" t="str">
        <f>'High Risk Non-Compliant'!B52</f>
        <v>DBAS-02</v>
      </c>
      <c r="B96" s="314" t="str">
        <f>'High Risk Non-Compliant'!C52</f>
        <v>Do you currently use encryption in your database(s)?</v>
      </c>
      <c r="C96" s="314"/>
      <c r="D96" s="313">
        <f>'High Risk Non-Compliant'!D52</f>
        <v>0</v>
      </c>
      <c r="E96" s="313"/>
      <c r="F96" s="313"/>
      <c r="G96" s="149" t="e">
        <f>IF(VLOOKUP(A96,'High Risk Non-Compliant'!B:K,$H$48,FALSE)=0,"N/A",VLOOKUP(A96,'High Risk Non-Compliant'!B:K,$H$48,FALSE))</f>
        <v>#REF!</v>
      </c>
      <c r="H96" s="149" t="e">
        <f>IF(G96="N/A","N/A",VLOOKUP(G96,'Crosswalk Detail'!A:B,2,FALSE))</f>
        <v>#REF!</v>
      </c>
    </row>
    <row r="97" spans="1:8" ht="144" customHeight="1" x14ac:dyDescent="0.2">
      <c r="A97" s="150" t="str">
        <f>'High Risk Non-Compliant'!B53</f>
        <v>DCTR-04</v>
      </c>
      <c r="B97" s="314" t="str">
        <f>'High Risk Non-Compliant'!C53</f>
        <v>Do any of your servers reside in a co-located data center?</v>
      </c>
      <c r="C97" s="314"/>
      <c r="D97" s="313">
        <f>'High Risk Non-Compliant'!D53</f>
        <v>0</v>
      </c>
      <c r="E97" s="313"/>
      <c r="F97" s="313"/>
      <c r="G97" s="149" t="e">
        <f>IF(VLOOKUP(A97,'High Risk Non-Compliant'!B:K,$H$48,FALSE)=0,"N/A",VLOOKUP(A97,'High Risk Non-Compliant'!B:K,$H$48,FALSE))</f>
        <v>#REF!</v>
      </c>
      <c r="H97" s="149" t="e">
        <f>IF(G97="N/A","N/A",VLOOKUP(G97,'Crosswalk Detail'!A:B,2,FALSE))</f>
        <v>#REF!</v>
      </c>
    </row>
    <row r="98" spans="1:8" ht="144" customHeight="1" x14ac:dyDescent="0.2">
      <c r="A98" s="150" t="str">
        <f>'High Risk Non-Compliant'!B54</f>
        <v>DCTR-09</v>
      </c>
      <c r="B98" s="314" t="str">
        <f>'High Risk Non-Compliant'!C54</f>
        <v>Will any institution data leave the Institution's Data Zone?</v>
      </c>
      <c r="C98" s="314"/>
      <c r="D98" s="313">
        <f>'High Risk Non-Compliant'!D54</f>
        <v>0</v>
      </c>
      <c r="E98" s="313"/>
      <c r="F98" s="313"/>
      <c r="G98" s="149" t="e">
        <f>IF(VLOOKUP(A98,'High Risk Non-Compliant'!B:K,$H$48,FALSE)=0,"N/A",VLOOKUP(A98,'High Risk Non-Compliant'!B:K,$H$48,FALSE))</f>
        <v>#REF!</v>
      </c>
      <c r="H98" s="149" t="e">
        <f>IF(G98="N/A","N/A",VLOOKUP(G98,'Crosswalk Detail'!A:B,2,FALSE))</f>
        <v>#REF!</v>
      </c>
    </row>
    <row r="99" spans="1:8" ht="144" customHeight="1" x14ac:dyDescent="0.2">
      <c r="A99" s="150" t="str">
        <f>'High Risk Non-Compliant'!B55</f>
        <v>DRPL-01</v>
      </c>
      <c r="B99" s="314" t="str">
        <f>'High Risk Non-Compliant'!C55</f>
        <v>Describe or provide a reference to your Disaster Recovery Plan (DRP).</v>
      </c>
      <c r="C99" s="314"/>
      <c r="D99" s="313">
        <f>'High Risk Non-Compliant'!D55</f>
        <v>0</v>
      </c>
      <c r="E99" s="313"/>
      <c r="F99" s="313"/>
      <c r="G99" s="149" t="e">
        <f>IF(VLOOKUP(A99,'High Risk Non-Compliant'!B:K,$H$48,FALSE)=0,"N/A",VLOOKUP(A99,'High Risk Non-Compliant'!B:K,$H$48,FALSE))</f>
        <v>#REF!</v>
      </c>
      <c r="H99" s="149" t="e">
        <f>IF(G99="N/A","N/A",VLOOKUP(G99,'Crosswalk Detail'!A:B,2,FALSE))</f>
        <v>#REF!</v>
      </c>
    </row>
    <row r="100" spans="1:8" ht="144" customHeight="1" x14ac:dyDescent="0.2">
      <c r="A100" s="150" t="str">
        <f>'High Risk Non-Compliant'!B56</f>
        <v>DRPL-07</v>
      </c>
      <c r="B100" s="314" t="str">
        <f>'High Risk Non-Compliant'!C56</f>
        <v>Is there a defined problem/issue escalation plan in your DRP for impacted clients?</v>
      </c>
      <c r="C100" s="314"/>
      <c r="D100" s="313">
        <f>'High Risk Non-Compliant'!D56</f>
        <v>0</v>
      </c>
      <c r="E100" s="313"/>
      <c r="F100" s="313"/>
      <c r="G100" s="149" t="e">
        <f>IF(VLOOKUP(A100,'High Risk Non-Compliant'!B:K,$H$48,FALSE)=0,"N/A",VLOOKUP(A100,'High Risk Non-Compliant'!B:K,$H$48,FALSE))</f>
        <v>#REF!</v>
      </c>
      <c r="H100" s="149" t="e">
        <f>IF(G100="N/A","N/A",VLOOKUP(G100,'Crosswalk Detail'!A:B,2,FALSE))</f>
        <v>#REF!</v>
      </c>
    </row>
    <row r="101" spans="1:8" ht="144" customHeight="1" x14ac:dyDescent="0.2">
      <c r="A101" s="150" t="str">
        <f>'High Risk Non-Compliant'!B57</f>
        <v>FIDP-01</v>
      </c>
      <c r="B101" s="314" t="str">
        <f>'High Risk Non-Compliant'!C57</f>
        <v>Are you utilizing a web application firewall (WAF)?</v>
      </c>
      <c r="C101" s="314"/>
      <c r="D101" s="313">
        <f>'High Risk Non-Compliant'!D57</f>
        <v>0</v>
      </c>
      <c r="E101" s="313"/>
      <c r="F101" s="313"/>
      <c r="G101" s="149" t="e">
        <f>IF(VLOOKUP(A101,'High Risk Non-Compliant'!B:K,$H$48,FALSE)=0,"N/A",VLOOKUP(A101,'High Risk Non-Compliant'!B:K,$H$48,FALSE))</f>
        <v>#REF!</v>
      </c>
      <c r="H101" s="149" t="e">
        <f>IF(G101="N/A","N/A",VLOOKUP(G101,'Crosswalk Detail'!A:B,2,FALSE))</f>
        <v>#REF!</v>
      </c>
    </row>
    <row r="102" spans="1:8" ht="144" customHeight="1" x14ac:dyDescent="0.2">
      <c r="A102" s="150" t="str">
        <f>'High Risk Non-Compliant'!B58</f>
        <v>FIDP-02</v>
      </c>
      <c r="B102" s="314" t="str">
        <f>'High Risk Non-Compliant'!C58</f>
        <v>Are you utilizing a stateful packet inspection (SPI) firewall?</v>
      </c>
      <c r="C102" s="314"/>
      <c r="D102" s="313">
        <f>'High Risk Non-Compliant'!D58</f>
        <v>0</v>
      </c>
      <c r="E102" s="313"/>
      <c r="F102" s="313"/>
      <c r="G102" s="149" t="e">
        <f>IF(VLOOKUP(A102,'High Risk Non-Compliant'!B:K,$H$48,FALSE)=0,"N/A",VLOOKUP(A102,'High Risk Non-Compliant'!B:K,$H$48,FALSE))</f>
        <v>#REF!</v>
      </c>
      <c r="H102" s="149" t="e">
        <f>IF(G102="N/A","N/A",VLOOKUP(G102,'Crosswalk Detail'!A:B,2,FALSE))</f>
        <v>#REF!</v>
      </c>
    </row>
    <row r="103" spans="1:8" ht="144" customHeight="1" x14ac:dyDescent="0.2">
      <c r="A103" s="150" t="str">
        <f>'High Risk Non-Compliant'!B59</f>
        <v>FIDP-04</v>
      </c>
      <c r="B103" s="314" t="str">
        <f>'High Risk Non-Compliant'!C59</f>
        <v>Do you have a documented policy for firewall change requests?</v>
      </c>
      <c r="C103" s="314"/>
      <c r="D103" s="313">
        <f>'High Risk Non-Compliant'!D59</f>
        <v>0</v>
      </c>
      <c r="E103" s="313"/>
      <c r="F103" s="313"/>
      <c r="G103" s="149" t="e">
        <f>IF(VLOOKUP(A103,'High Risk Non-Compliant'!B:K,$H$48,FALSE)=0,"N/A",VLOOKUP(A103,'High Risk Non-Compliant'!B:K,$H$48,FALSE))</f>
        <v>#REF!</v>
      </c>
      <c r="H103" s="149" t="e">
        <f>IF(G103="N/A","N/A",VLOOKUP(G103,'Crosswalk Detail'!A:B,2,FALSE))</f>
        <v>#REF!</v>
      </c>
    </row>
    <row r="104" spans="1:8" ht="144" customHeight="1" x14ac:dyDescent="0.2">
      <c r="A104" s="150" t="str">
        <f>'High Risk Non-Compliant'!B60</f>
        <v>FIDP-05</v>
      </c>
      <c r="B104" s="314" t="str">
        <f>'High Risk Non-Compliant'!C60</f>
        <v>Have you implemented an Intrusion Detection System (network-based)?</v>
      </c>
      <c r="C104" s="314"/>
      <c r="D104" s="313">
        <f>'High Risk Non-Compliant'!D60</f>
        <v>0</v>
      </c>
      <c r="E104" s="313"/>
      <c r="F104" s="313"/>
      <c r="G104" s="149" t="e">
        <f>IF(VLOOKUP(A104,'High Risk Non-Compliant'!B:K,$H$48,FALSE)=0,"N/A",VLOOKUP(A104,'High Risk Non-Compliant'!B:K,$H$48,FALSE))</f>
        <v>#REF!</v>
      </c>
      <c r="H104" s="149" t="e">
        <f>IF(G104="N/A","N/A",VLOOKUP(G104,'Crosswalk Detail'!A:B,2,FALSE))</f>
        <v>#REF!</v>
      </c>
    </row>
    <row r="105" spans="1:8" ht="144" customHeight="1" x14ac:dyDescent="0.2">
      <c r="A105" s="150" t="str">
        <f>'High Risk Non-Compliant'!B61</f>
        <v>FIDP-07</v>
      </c>
      <c r="B105" s="314" t="str">
        <f>'High Risk Non-Compliant'!C61</f>
        <v>Do you employ host-based intrusion detection?</v>
      </c>
      <c r="C105" s="314"/>
      <c r="D105" s="313">
        <f>'High Risk Non-Compliant'!D61</f>
        <v>0</v>
      </c>
      <c r="E105" s="313"/>
      <c r="F105" s="313"/>
      <c r="G105" s="149" t="e">
        <f>IF(VLOOKUP(A105,'High Risk Non-Compliant'!B:K,$H$48,FALSE)=0,"N/A",VLOOKUP(A105,'High Risk Non-Compliant'!B:K,$H$48,FALSE))</f>
        <v>#REF!</v>
      </c>
      <c r="H105" s="149" t="e">
        <f>IF(G105="N/A","N/A",VLOOKUP(G105,'Crosswalk Detail'!A:B,2,FALSE))</f>
        <v>#REF!</v>
      </c>
    </row>
    <row r="106" spans="1:8" ht="144" customHeight="1" x14ac:dyDescent="0.2">
      <c r="A106" s="150" t="str">
        <f>'High Risk Non-Compliant'!B62</f>
        <v>FIDP-12</v>
      </c>
      <c r="B106" s="314" t="str">
        <f>'High Risk Non-Compliant'!C62</f>
        <v>Are audit logs available for all changes to the network, firewall, IDS, and IPS systems?</v>
      </c>
      <c r="C106" s="314"/>
      <c r="D106" s="313">
        <f>'High Risk Non-Compliant'!D62</f>
        <v>0</v>
      </c>
      <c r="E106" s="313"/>
      <c r="F106" s="313"/>
      <c r="G106" s="149" t="e">
        <f>IF(VLOOKUP(A106,'High Risk Non-Compliant'!B:K,$H$48,FALSE)=0,"N/A",VLOOKUP(A106,'High Risk Non-Compliant'!B:K,$H$48,FALSE))</f>
        <v>#REF!</v>
      </c>
      <c r="H106" s="149" t="e">
        <f>IF(G106="N/A","N/A",VLOOKUP(G106,'Crosswalk Detail'!A:B,2,FALSE))</f>
        <v>#REF!</v>
      </c>
    </row>
    <row r="107" spans="1:8" ht="144" customHeight="1" x14ac:dyDescent="0.2">
      <c r="A107" s="150" t="str">
        <f>'High Risk Non-Compliant'!B63</f>
        <v>MAPP-03</v>
      </c>
      <c r="B107" s="314" t="str">
        <f>'High Risk Non-Compliant'!C63</f>
        <v>Is the application available from a trusted source (e.g., iTunes App Store, Android Market, BB World)?</v>
      </c>
      <c r="C107" s="314"/>
      <c r="D107" s="313">
        <f>'High Risk Non-Compliant'!D63</f>
        <v>0</v>
      </c>
      <c r="E107" s="313"/>
      <c r="F107" s="313"/>
      <c r="G107" s="149" t="e">
        <f>IF(VLOOKUP(A107,'High Risk Non-Compliant'!B:K,$H$48,FALSE)=0,"N/A",VLOOKUP(A107,'High Risk Non-Compliant'!B:K,$H$48,FALSE))</f>
        <v>#REF!</v>
      </c>
      <c r="H107" s="149" t="e">
        <f>IF(G107="N/A","N/A",VLOOKUP(G107,'Crosswalk Detail'!A:B,2,FALSE))</f>
        <v>#REF!</v>
      </c>
    </row>
    <row r="108" spans="1:8" ht="144" customHeight="1" x14ac:dyDescent="0.2">
      <c r="A108" s="150" t="str">
        <f>'High Risk Non-Compliant'!B64</f>
        <v>MAPP-05</v>
      </c>
      <c r="B108" s="314" t="str">
        <f>'High Risk Non-Compliant'!C64</f>
        <v>Is Institution's data encrypted in transport?</v>
      </c>
      <c r="C108" s="314"/>
      <c r="D108" s="313">
        <f>'High Risk Non-Compliant'!D64</f>
        <v>0</v>
      </c>
      <c r="E108" s="313"/>
      <c r="F108" s="313"/>
      <c r="G108" s="149" t="e">
        <f>IF(VLOOKUP(A108,'High Risk Non-Compliant'!B:K,$H$48,FALSE)=0,"N/A",VLOOKUP(A108,'High Risk Non-Compliant'!B:K,$H$48,FALSE))</f>
        <v>#REF!</v>
      </c>
      <c r="H108" s="149" t="e">
        <f>IF(G108="N/A","N/A",VLOOKUP(G108,'Crosswalk Detail'!A:B,2,FALSE))</f>
        <v>#REF!</v>
      </c>
    </row>
    <row r="109" spans="1:8" ht="144" customHeight="1" x14ac:dyDescent="0.2">
      <c r="A109" s="150" t="str">
        <f>'High Risk Non-Compliant'!B65</f>
        <v>MAPP-06</v>
      </c>
      <c r="B109" s="314" t="str">
        <f>'High Risk Non-Compliant'!C65</f>
        <v>Is Institution's data encrypted in storage? (e.g. disk encryption, at-rest)</v>
      </c>
      <c r="C109" s="314"/>
      <c r="D109" s="313">
        <f>'High Risk Non-Compliant'!D65</f>
        <v>0</v>
      </c>
      <c r="E109" s="313"/>
      <c r="F109" s="313"/>
      <c r="G109" s="149" t="e">
        <f>IF(VLOOKUP(A109,'High Risk Non-Compliant'!B:K,$H$48,FALSE)=0,"N/A",VLOOKUP(A109,'High Risk Non-Compliant'!B:K,$H$48,FALSE))</f>
        <v>#REF!</v>
      </c>
      <c r="H109" s="149" t="e">
        <f>IF(G109="N/A","N/A",VLOOKUP(G109,'Crosswalk Detail'!A:B,2,FALSE))</f>
        <v>#REF!</v>
      </c>
    </row>
    <row r="110" spans="1:8" ht="144" customHeight="1" x14ac:dyDescent="0.2">
      <c r="A110" s="150" t="str">
        <f>'High Risk Non-Compliant'!B66</f>
        <v>MAPP-07</v>
      </c>
      <c r="B110" s="314" t="str">
        <f>'High Risk Non-Compliant'!C66</f>
        <v>Does the mobile application support Kerberos, CAS, or Active Directory authentication?</v>
      </c>
      <c r="C110" s="314"/>
      <c r="D110" s="313">
        <f>'High Risk Non-Compliant'!D66</f>
        <v>0</v>
      </c>
      <c r="E110" s="313"/>
      <c r="F110" s="313"/>
      <c r="G110" s="149" t="e">
        <f>IF(VLOOKUP(A110,'High Risk Non-Compliant'!B:K,$H$48,FALSE)=0,"N/A",VLOOKUP(A110,'High Risk Non-Compliant'!B:K,$H$48,FALSE))</f>
        <v>#REF!</v>
      </c>
      <c r="H110" s="149" t="e">
        <f>IF(G110="N/A","N/A",VLOOKUP(G110,'Crosswalk Detail'!A:B,2,FALSE))</f>
        <v>#REF!</v>
      </c>
    </row>
    <row r="111" spans="1:8" ht="144" customHeight="1" x14ac:dyDescent="0.2">
      <c r="A111" s="150" t="str">
        <f>'High Risk Non-Compliant'!B67</f>
        <v>MAPP-09</v>
      </c>
      <c r="B111" s="314" t="str">
        <f>'High Risk Non-Compliant'!C67</f>
        <v>Does the application adhere to secure coding practices (e.g. OWASP, etc.)?</v>
      </c>
      <c r="C111" s="314"/>
      <c r="D111" s="313">
        <f>'High Risk Non-Compliant'!D67</f>
        <v>0</v>
      </c>
      <c r="E111" s="313"/>
      <c r="F111" s="313"/>
      <c r="G111" s="149" t="e">
        <f>IF(VLOOKUP(A111,'High Risk Non-Compliant'!B:K,$H$48,FALSE)=0,"N/A",VLOOKUP(A111,'High Risk Non-Compliant'!B:K,$H$48,FALSE))</f>
        <v>#REF!</v>
      </c>
      <c r="H111" s="149" t="e">
        <f>IF(G111="N/A","N/A",VLOOKUP(G111,'Crosswalk Detail'!A:B,2,FALSE))</f>
        <v>#REF!</v>
      </c>
    </row>
    <row r="112" spans="1:8" ht="144" customHeight="1" x14ac:dyDescent="0.2">
      <c r="A112" s="150" t="str">
        <f>'High Risk Non-Compliant'!B68</f>
        <v>MAPP-10</v>
      </c>
      <c r="B112" s="314" t="str">
        <f>'High Risk Non-Compliant'!C68</f>
        <v>Has the application been tested for vulnerabilities by a third party?</v>
      </c>
      <c r="C112" s="314"/>
      <c r="D112" s="313">
        <f>'High Risk Non-Compliant'!D68</f>
        <v>0</v>
      </c>
      <c r="E112" s="313"/>
      <c r="F112" s="313"/>
      <c r="G112" s="149" t="e">
        <f>IF(VLOOKUP(A112,'High Risk Non-Compliant'!B:K,$H$48,FALSE)=0,"N/A",VLOOKUP(A112,'High Risk Non-Compliant'!B:K,$H$48,FALSE))</f>
        <v>#REF!</v>
      </c>
      <c r="H112" s="149" t="e">
        <f>IF(G112="N/A","N/A",VLOOKUP(G112,'Crosswalk Detail'!A:B,2,FALSE))</f>
        <v>#REF!</v>
      </c>
    </row>
    <row r="113" spans="1:8" ht="144" customHeight="1" x14ac:dyDescent="0.2">
      <c r="A113" s="150" t="str">
        <f>'High Risk Non-Compliant'!B69</f>
        <v>MAPP-11</v>
      </c>
      <c r="B113" s="314" t="str">
        <f>'High Risk Non-Compliant'!C69</f>
        <v>State the party that performed the vulnerability test and the date it was conducted?</v>
      </c>
      <c r="C113" s="314"/>
      <c r="D113" s="313">
        <f>'High Risk Non-Compliant'!D69</f>
        <v>0</v>
      </c>
      <c r="E113" s="313"/>
      <c r="F113" s="313"/>
      <c r="G113" s="149" t="e">
        <f>IF(VLOOKUP(A113,'High Risk Non-Compliant'!B:K,$H$48,FALSE)=0,"N/A",VLOOKUP(A113,'High Risk Non-Compliant'!B:K,$H$48,FALSE))</f>
        <v>#REF!</v>
      </c>
      <c r="H113" s="149" t="e">
        <f>IF(G113="N/A","N/A",VLOOKUP(G113,'Crosswalk Detail'!A:B,2,FALSE))</f>
        <v>#REF!</v>
      </c>
    </row>
    <row r="114" spans="1:8" ht="144" customHeight="1" x14ac:dyDescent="0.2">
      <c r="A114" s="150" t="str">
        <f>'High Risk Non-Compliant'!B70</f>
        <v>PHYS-02</v>
      </c>
      <c r="B114" s="314" t="str">
        <f>'High Risk Non-Compliant'!C70</f>
        <v>Are employees allowed to take home Institution's data in any form?</v>
      </c>
      <c r="C114" s="314"/>
      <c r="D114" s="313">
        <f>'High Risk Non-Compliant'!D70</f>
        <v>0</v>
      </c>
      <c r="E114" s="313"/>
      <c r="F114" s="313"/>
      <c r="G114" s="149" t="e">
        <f>IF(VLOOKUP(A114,'High Risk Non-Compliant'!B:K,$H$48,FALSE)=0,"N/A",VLOOKUP(A114,'High Risk Non-Compliant'!B:K,$H$48,FALSE))</f>
        <v>#REF!</v>
      </c>
      <c r="H114" s="149" t="e">
        <f>IF(G114="N/A","N/A",VLOOKUP(G114,'Crosswalk Detail'!A:B,2,FALSE))</f>
        <v>#REF!</v>
      </c>
    </row>
    <row r="115" spans="1:8" ht="144" customHeight="1" x14ac:dyDescent="0.2">
      <c r="A115" s="150" t="str">
        <f>'High Risk Non-Compliant'!B71</f>
        <v>PPPR-02</v>
      </c>
      <c r="B115" s="314" t="str">
        <f>'High Risk Non-Compliant'!C71</f>
        <v>Do you have a documented patch management process?</v>
      </c>
      <c r="C115" s="314"/>
      <c r="D115" s="313">
        <f>'High Risk Non-Compliant'!D71</f>
        <v>0</v>
      </c>
      <c r="E115" s="313"/>
      <c r="F115" s="313"/>
      <c r="G115" s="149" t="e">
        <f>IF(VLOOKUP(A115,'High Risk Non-Compliant'!B:K,$H$48,FALSE)=0,"N/A",VLOOKUP(A115,'High Risk Non-Compliant'!B:K,$H$48,FALSE))</f>
        <v>#REF!</v>
      </c>
      <c r="H115" s="149" t="e">
        <f>IF(G115="N/A","N/A",VLOOKUP(G115,'Crosswalk Detail'!A:B,2,FALSE))</f>
        <v>#REF!</v>
      </c>
    </row>
    <row r="116" spans="1:8" ht="144" customHeight="1" x14ac:dyDescent="0.2">
      <c r="A116" s="150" t="str">
        <f>'High Risk Non-Compliant'!B72</f>
        <v>PPPR-04</v>
      </c>
      <c r="B116" s="314" t="str">
        <f>'High Risk Non-Compliant'!C72</f>
        <v>Have your developers been trained in secure coding techniques?</v>
      </c>
      <c r="C116" s="314"/>
      <c r="D116" s="313">
        <f>'High Risk Non-Compliant'!D72</f>
        <v>0</v>
      </c>
      <c r="E116" s="313"/>
      <c r="F116" s="313"/>
      <c r="G116" s="149" t="e">
        <f>IF(VLOOKUP(A116,'High Risk Non-Compliant'!B:K,$H$48,FALSE)=0,"N/A",VLOOKUP(A116,'High Risk Non-Compliant'!B:K,$H$48,FALSE))</f>
        <v>#REF!</v>
      </c>
      <c r="H116" s="149" t="e">
        <f>IF(G116="N/A","N/A",VLOOKUP(G116,'Crosswalk Detail'!A:B,2,FALSE))</f>
        <v>#REF!</v>
      </c>
    </row>
    <row r="117" spans="1:8" ht="144" customHeight="1" x14ac:dyDescent="0.2">
      <c r="A117" s="150" t="str">
        <f>'High Risk Non-Compliant'!B73</f>
        <v>PPPR-06</v>
      </c>
      <c r="B117" s="314" t="str">
        <f>'High Risk Non-Compliant'!C73</f>
        <v>Do you subject your code to static code analysis and/or static application security testing prior to release?</v>
      </c>
      <c r="C117" s="314"/>
      <c r="D117" s="313">
        <f>'High Risk Non-Compliant'!D73</f>
        <v>0</v>
      </c>
      <c r="E117" s="313"/>
      <c r="F117" s="313"/>
      <c r="G117" s="149" t="e">
        <f>IF(VLOOKUP(A117,'High Risk Non-Compliant'!B:K,$H$48,FALSE)=0,"N/A",VLOOKUP(A117,'High Risk Non-Compliant'!B:K,$H$48,FALSE))</f>
        <v>#REF!</v>
      </c>
      <c r="H117" s="149" t="e">
        <f>IF(G117="N/A","N/A",VLOOKUP(G117,'Crosswalk Detail'!A:B,2,FALSE))</f>
        <v>#REF!</v>
      </c>
    </row>
    <row r="118" spans="1:8" ht="144" customHeight="1" x14ac:dyDescent="0.2">
      <c r="A118" s="150" t="str">
        <f>'High Risk Non-Compliant'!B74</f>
        <v>PPPR-10</v>
      </c>
      <c r="B118" s="314" t="str">
        <f>'High Risk Non-Compliant'!C74</f>
        <v>Do you have a formal incident response plan?</v>
      </c>
      <c r="C118" s="314"/>
      <c r="D118" s="313">
        <f>'High Risk Non-Compliant'!D74</f>
        <v>0</v>
      </c>
      <c r="E118" s="313"/>
      <c r="F118" s="313"/>
      <c r="G118" s="149" t="e">
        <f>IF(VLOOKUP(A118,'High Risk Non-Compliant'!B:K,$H$48,FALSE)=0,"N/A",VLOOKUP(A118,'High Risk Non-Compliant'!B:K,$H$48,FALSE))</f>
        <v>#REF!</v>
      </c>
      <c r="H118" s="149" t="e">
        <f>IF(G118="N/A","N/A",VLOOKUP(G118,'Crosswalk Detail'!A:B,2,FALSE))</f>
        <v>#REF!</v>
      </c>
    </row>
    <row r="119" spans="1:8" ht="144" customHeight="1" x14ac:dyDescent="0.2">
      <c r="A119" s="150" t="str">
        <f>'High Risk Non-Compliant'!B75</f>
        <v>PPPR-11</v>
      </c>
      <c r="B119" s="314" t="str">
        <f>'High Risk Non-Compliant'!C75</f>
        <v>Will you comply with applicable breach notification laws?</v>
      </c>
      <c r="C119" s="314"/>
      <c r="D119" s="313">
        <f>'High Risk Non-Compliant'!D75</f>
        <v>0</v>
      </c>
      <c r="E119" s="313"/>
      <c r="F119" s="313"/>
      <c r="G119" s="149" t="e">
        <f>IF(VLOOKUP(A119,'High Risk Non-Compliant'!B:K,$H$48,FALSE)=0,"N/A",VLOOKUP(A119,'High Risk Non-Compliant'!B:K,$H$48,FALSE))</f>
        <v>#REF!</v>
      </c>
      <c r="H119" s="149" t="e">
        <f>IF(G119="N/A","N/A",VLOOKUP(G119,'Crosswalk Detail'!A:B,2,FALSE))</f>
        <v>#REF!</v>
      </c>
    </row>
    <row r="120" spans="1:8" ht="144" customHeight="1" x14ac:dyDescent="0.2">
      <c r="A120" s="150" t="str">
        <f>'High Risk Non-Compliant'!B76</f>
        <v>PPPR-16</v>
      </c>
      <c r="B120" s="314" t="str">
        <f>'High Risk Non-Compliant'!C76</f>
        <v>Do you have documented information security policy?</v>
      </c>
      <c r="C120" s="314"/>
      <c r="D120" s="313">
        <f>'High Risk Non-Compliant'!D76</f>
        <v>0</v>
      </c>
      <c r="E120" s="313"/>
      <c r="F120" s="313"/>
      <c r="G120" s="149" t="e">
        <f>IF(VLOOKUP(A120,'High Risk Non-Compliant'!B:K,$H$48,FALSE)=0,"N/A",VLOOKUP(A120,'High Risk Non-Compliant'!B:K,$H$48,FALSE))</f>
        <v>#REF!</v>
      </c>
      <c r="H120" s="149" t="e">
        <f>IF(G120="N/A","N/A",VLOOKUP(G120,'Crosswalk Detail'!A:B,2,FALSE))</f>
        <v>#REF!</v>
      </c>
    </row>
    <row r="121" spans="1:8" ht="144" customHeight="1" x14ac:dyDescent="0.2">
      <c r="A121" s="150" t="str">
        <f>'High Risk Non-Compliant'!B77</f>
        <v>PPPR-17</v>
      </c>
      <c r="B121" s="314" t="str">
        <f>'High Risk Non-Compliant'!C77</f>
        <v>Do you have an information security awareness program?</v>
      </c>
      <c r="C121" s="314"/>
      <c r="D121" s="313">
        <f>'High Risk Non-Compliant'!D77</f>
        <v>0</v>
      </c>
      <c r="E121" s="313"/>
      <c r="F121" s="313"/>
      <c r="G121" s="149" t="e">
        <f>IF(VLOOKUP(A121,'High Risk Non-Compliant'!B:K,$H$48,FALSE)=0,"N/A",VLOOKUP(A121,'High Risk Non-Compliant'!B:K,$H$48,FALSE))</f>
        <v>#REF!</v>
      </c>
      <c r="H121" s="149" t="e">
        <f>IF(G121="N/A","N/A",VLOOKUP(G121,'Crosswalk Detail'!A:B,2,FALSE))</f>
        <v>#REF!</v>
      </c>
    </row>
    <row r="122" spans="1:8" ht="144" customHeight="1" x14ac:dyDescent="0.2">
      <c r="A122" s="150" t="str">
        <f>'High Risk Non-Compliant'!B78</f>
        <v>SYST-01</v>
      </c>
      <c r="B122" s="314" t="str">
        <f>'High Risk Non-Compliant'!C78</f>
        <v>Are systems that support this service managed via a separate management network?</v>
      </c>
      <c r="C122" s="314"/>
      <c r="D122" s="313">
        <f>'High Risk Non-Compliant'!D78</f>
        <v>0</v>
      </c>
      <c r="E122" s="313"/>
      <c r="F122" s="313"/>
      <c r="G122" s="149" t="e">
        <f>IF(VLOOKUP(A122,'High Risk Non-Compliant'!B:K,$H$48,FALSE)=0,"N/A",VLOOKUP(A122,'High Risk Non-Compliant'!B:K,$H$48,FALSE))</f>
        <v>#REF!</v>
      </c>
      <c r="H122" s="149" t="e">
        <f>IF(G122="N/A","N/A",VLOOKUP(G122,'Crosswalk Detail'!A:B,2,FALSE))</f>
        <v>#REF!</v>
      </c>
    </row>
    <row r="123" spans="1:8" ht="144" customHeight="1" x14ac:dyDescent="0.2">
      <c r="A123" s="150" t="str">
        <f>'High Risk Non-Compliant'!B79</f>
        <v>VULN-01</v>
      </c>
      <c r="B123" s="314" t="str">
        <f>'High Risk Non-Compliant'!C79</f>
        <v>Are your applications scanned externally for vulnerabilities?</v>
      </c>
      <c r="C123" s="314"/>
      <c r="D123" s="313">
        <f>'High Risk Non-Compliant'!D79</f>
        <v>0</v>
      </c>
      <c r="E123" s="313"/>
      <c r="F123" s="313"/>
      <c r="G123" s="149" t="e">
        <f>IF(VLOOKUP(A123,'High Risk Non-Compliant'!B:K,$H$48,FALSE)=0,"N/A",VLOOKUP(A123,'High Risk Non-Compliant'!B:K,$H$48,FALSE))</f>
        <v>#REF!</v>
      </c>
      <c r="H123" s="149" t="e">
        <f>IF(G123="N/A","N/A",VLOOKUP(G123,'Crosswalk Detail'!A:B,2,FALSE))</f>
        <v>#REF!</v>
      </c>
    </row>
    <row r="124" spans="1:8" ht="144" customHeight="1" x14ac:dyDescent="0.2">
      <c r="A124" s="150" t="str">
        <f>'High Risk Non-Compliant'!B80</f>
        <v>VULN-04</v>
      </c>
      <c r="B124" s="314" t="str">
        <f>'High Risk Non-Compliant'!C80</f>
        <v>Are your systems scanned externally for vulnerabilities?</v>
      </c>
      <c r="C124" s="314"/>
      <c r="D124" s="313">
        <f>'High Risk Non-Compliant'!D80</f>
        <v>0</v>
      </c>
      <c r="E124" s="313"/>
      <c r="F124" s="313"/>
      <c r="G124" s="149" t="e">
        <f>IF(VLOOKUP(A124,'High Risk Non-Compliant'!B:K,$H$48,FALSE)=0,"N/A",VLOOKUP(A124,'High Risk Non-Compliant'!B:K,$H$48,FALSE))</f>
        <v>#REF!</v>
      </c>
      <c r="H124" s="149" t="e">
        <f>IF(G124="N/A","N/A",VLOOKUP(G124,'Crosswalk Detail'!A:B,2,FALSE))</f>
        <v>#REF!</v>
      </c>
    </row>
    <row r="125" spans="1:8" ht="144" customHeight="1" x14ac:dyDescent="0.2">
      <c r="A125" s="150" t="str">
        <f>'High Risk Non-Compliant'!B81</f>
        <v>VULN-05</v>
      </c>
      <c r="B125" s="314" t="str">
        <f>'High Risk Non-Compliant'!C81</f>
        <v>Have your systems had an external vulnerability assessment in the last year?</v>
      </c>
      <c r="C125" s="314"/>
      <c r="D125" s="313">
        <f>'High Risk Non-Compliant'!D81</f>
        <v>0</v>
      </c>
      <c r="E125" s="313"/>
      <c r="F125" s="313"/>
      <c r="G125" s="149" t="e">
        <f>IF(VLOOKUP(A125,'High Risk Non-Compliant'!B:K,$H$48,FALSE)=0,"N/A",VLOOKUP(A125,'High Risk Non-Compliant'!B:K,$H$48,FALSE))</f>
        <v>#REF!</v>
      </c>
      <c r="H125" s="149" t="e">
        <f>IF(G125="N/A","N/A",VLOOKUP(G125,'Crosswalk Detail'!A:B,2,FALSE))</f>
        <v>#REF!</v>
      </c>
    </row>
    <row r="126" spans="1:8" ht="144" customHeight="1" x14ac:dyDescent="0.2">
      <c r="A126" s="150" t="str">
        <f>'High Risk Non-Compliant'!B82</f>
        <v>VULN-09</v>
      </c>
      <c r="B126" s="314" t="str">
        <f>'High Risk Non-Compliant'!C82</f>
        <v>Will you allow the institution to perform its own security testing of your systems and/or application provided that testing is performed at a mutually agreed upon time and date?</v>
      </c>
      <c r="C126" s="314"/>
      <c r="D126" s="313">
        <f>'High Risk Non-Compliant'!D82</f>
        <v>0</v>
      </c>
      <c r="E126" s="313"/>
      <c r="F126" s="313"/>
      <c r="G126" s="149" t="e">
        <f>IF(VLOOKUP(A126,'High Risk Non-Compliant'!B:K,$H$48,FALSE)=0,"N/A",VLOOKUP(A126,'High Risk Non-Compliant'!B:K,$H$48,FALSE))</f>
        <v>#REF!</v>
      </c>
      <c r="H126" s="149" t="e">
        <f>IF(G126="N/A","N/A",VLOOKUP(G126,'Crosswalk Detail'!A:B,2,FALSE))</f>
        <v>#REF!</v>
      </c>
    </row>
    <row r="127" spans="1:8" ht="144" customHeight="1" x14ac:dyDescent="0.2">
      <c r="A127" s="150" t="str">
        <f>'High Risk Non-Compliant'!B83</f>
        <v>HIPA-03</v>
      </c>
      <c r="B127" s="314" t="str">
        <f>'High Risk Non-Compliant'!C83</f>
        <v>Has your organization designated HIPAA Privacy and Security officers as required by the Rules?</v>
      </c>
      <c r="C127" s="314"/>
      <c r="D127" s="313">
        <f>'High Risk Non-Compliant'!D83</f>
        <v>0</v>
      </c>
      <c r="E127" s="313"/>
      <c r="F127" s="313"/>
      <c r="G127" s="149" t="e">
        <f>IF(VLOOKUP(A127,'High Risk Non-Compliant'!B:K,$H$48,FALSE)=0,"N/A",VLOOKUP(A127,'High Risk Non-Compliant'!B:K,$H$48,FALSE))</f>
        <v>#REF!</v>
      </c>
      <c r="H127" s="149" t="e">
        <f>IF(G127="N/A","N/A",VLOOKUP(G127,'Crosswalk Detail'!A:B,2,FALSE))</f>
        <v>#REF!</v>
      </c>
    </row>
    <row r="128" spans="1:8" ht="144" customHeight="1" x14ac:dyDescent="0.2">
      <c r="A128" s="150" t="str">
        <f>'High Risk Non-Compliant'!B84</f>
        <v>HIPA-04</v>
      </c>
      <c r="B128" s="314" t="str">
        <f>'High Risk Non-Compliant'!C84</f>
        <v>Do you comply with the requirements of the Health Information Technology for Economic and Clinical Health Act (HITECH)?</v>
      </c>
      <c r="C128" s="314"/>
      <c r="D128" s="313">
        <f>'High Risk Non-Compliant'!D84</f>
        <v>0</v>
      </c>
      <c r="E128" s="313"/>
      <c r="F128" s="313"/>
      <c r="G128" s="149" t="e">
        <f>IF(VLOOKUP(A128,'High Risk Non-Compliant'!B:K,$H$48,FALSE)=0,"N/A",VLOOKUP(A128,'High Risk Non-Compliant'!B:K,$H$48,FALSE))</f>
        <v>#REF!</v>
      </c>
      <c r="H128" s="149" t="e">
        <f>IF(G128="N/A","N/A",VLOOKUP(G128,'Crosswalk Detail'!A:B,2,FALSE))</f>
        <v>#REF!</v>
      </c>
    </row>
    <row r="129" spans="1:8" ht="144" customHeight="1" x14ac:dyDescent="0.2">
      <c r="A129" s="150" t="str">
        <f>'High Risk Non-Compliant'!B85</f>
        <v>HIPA-06</v>
      </c>
      <c r="B129" s="314" t="str">
        <f>'High Risk Non-Compliant'!C85</f>
        <v>Do you have a plan to comply with the Breach Notification requirements if there is a breach of data?</v>
      </c>
      <c r="C129" s="314"/>
      <c r="D129" s="313">
        <f>'High Risk Non-Compliant'!D85</f>
        <v>0</v>
      </c>
      <c r="E129" s="313"/>
      <c r="F129" s="313"/>
      <c r="G129" s="149" t="e">
        <f>IF(VLOOKUP(A129,'High Risk Non-Compliant'!B:K,$H$48,FALSE)=0,"N/A",VLOOKUP(A129,'High Risk Non-Compliant'!B:K,$H$48,FALSE))</f>
        <v>#REF!</v>
      </c>
      <c r="H129" s="149" t="e">
        <f>IF(G129="N/A","N/A",VLOOKUP(G129,'Crosswalk Detail'!A:B,2,FALSE))</f>
        <v>#REF!</v>
      </c>
    </row>
    <row r="130" spans="1:8" ht="144" customHeight="1" x14ac:dyDescent="0.2">
      <c r="A130" s="150" t="str">
        <f>'High Risk Non-Compliant'!B86</f>
        <v>HIPA-07</v>
      </c>
      <c r="B130" s="314" t="str">
        <f>'High Risk Non-Compliant'!C86</f>
        <v>Have you conducted a risk analysis as required under the Security Rule?</v>
      </c>
      <c r="C130" s="314"/>
      <c r="D130" s="313">
        <f>'High Risk Non-Compliant'!D86</f>
        <v>0</v>
      </c>
      <c r="E130" s="313"/>
      <c r="F130" s="313"/>
      <c r="G130" s="149" t="e">
        <f>IF(VLOOKUP(A130,'High Risk Non-Compliant'!B:K,$H$48,FALSE)=0,"N/A",VLOOKUP(A130,'High Risk Non-Compliant'!B:K,$H$48,FALSE))</f>
        <v>#REF!</v>
      </c>
      <c r="H130" s="149" t="e">
        <f>IF(G130="N/A","N/A",VLOOKUP(G130,'Crosswalk Detail'!A:B,2,FALSE))</f>
        <v>#REF!</v>
      </c>
    </row>
    <row r="131" spans="1:8" ht="144" customHeight="1" x14ac:dyDescent="0.2">
      <c r="A131" s="150" t="str">
        <f>'High Risk Non-Compliant'!B87</f>
        <v>HIPA-14</v>
      </c>
      <c r="B131" s="314" t="str">
        <f>'High Risk Non-Compliant'!C87</f>
        <v>Are passwords visible in plain text, whether when stored or entered, including service level accounts (i.e. database accounts, etc.)?</v>
      </c>
      <c r="C131" s="314"/>
      <c r="D131" s="313">
        <f>'High Risk Non-Compliant'!D87</f>
        <v>0</v>
      </c>
      <c r="E131" s="313"/>
      <c r="F131" s="313"/>
      <c r="G131" s="149" t="e">
        <f>IF(VLOOKUP(A131,'High Risk Non-Compliant'!B:K,$H$48,FALSE)=0,"N/A",VLOOKUP(A131,'High Risk Non-Compliant'!B:K,$H$48,FALSE))</f>
        <v>#REF!</v>
      </c>
      <c r="H131" s="149" t="e">
        <f>IF(G131="N/A","N/A",VLOOKUP(G131,'Crosswalk Detail'!A:B,2,FALSE))</f>
        <v>#REF!</v>
      </c>
    </row>
    <row r="132" spans="1:8" ht="144" customHeight="1" x14ac:dyDescent="0.2">
      <c r="A132" s="150" t="str">
        <f>'High Risk Non-Compliant'!B88</f>
        <v>PCID-03</v>
      </c>
      <c r="B132" s="314" t="str">
        <f>'High Risk Non-Compliant'!C88</f>
        <v>Do you have a current, executed within the past year, Attestation of Compliance (AoC) or Report on Compliance (RoC)?</v>
      </c>
      <c r="C132" s="314"/>
      <c r="D132" s="313">
        <f>'High Risk Non-Compliant'!D88</f>
        <v>0</v>
      </c>
      <c r="E132" s="313"/>
      <c r="F132" s="313"/>
      <c r="G132" s="149" t="e">
        <f>IF(VLOOKUP(A132,'High Risk Non-Compliant'!B:K,$H$48,FALSE)=0,"N/A",VLOOKUP(A132,'High Risk Non-Compliant'!B:K,$H$48,FALSE))</f>
        <v>#REF!</v>
      </c>
      <c r="H132" s="149" t="e">
        <f>IF(G132="N/A","N/A",VLOOKUP(G132,'Crosswalk Detail'!A:B,2,FALSE))</f>
        <v>#REF!</v>
      </c>
    </row>
    <row r="133" spans="1:8" ht="144" customHeight="1" x14ac:dyDescent="0.2">
      <c r="A133" s="150" t="str">
        <f>'High Risk Non-Compliant'!B89</f>
        <v>PCID-06</v>
      </c>
      <c r="B133" s="314" t="str">
        <f>'High Risk Non-Compliant'!C89</f>
        <v>Are you classified as a merchant?  If so, what level (1, 2, 3, 4)?</v>
      </c>
      <c r="C133" s="314"/>
      <c r="D133" s="313">
        <f>'High Risk Non-Compliant'!D89</f>
        <v>0</v>
      </c>
      <c r="E133" s="313"/>
      <c r="F133" s="313"/>
      <c r="G133" s="149" t="e">
        <f>IF(VLOOKUP(A133,'High Risk Non-Compliant'!B:K,$H$48,FALSE)=0,"N/A",VLOOKUP(A133,'High Risk Non-Compliant'!B:K,$H$48,FALSE))</f>
        <v>#REF!</v>
      </c>
      <c r="H133" s="149" t="e">
        <f>IF(G133="N/A","N/A",VLOOKUP(G133,'Crosswalk Detail'!A:B,2,FALSE))</f>
        <v>#REF!</v>
      </c>
    </row>
    <row r="134" spans="1:8" ht="144" customHeight="1" x14ac:dyDescent="0.2">
      <c r="A134" s="150" t="str">
        <f>'High Risk Non-Compliant'!B90</f>
        <v>PCID-09</v>
      </c>
      <c r="B134" s="314" t="str">
        <f>'High Risk Non-Compliant'!C90</f>
        <v>Can the application be installed in a PCI DSS compliant manner ?</v>
      </c>
      <c r="C134" s="314"/>
      <c r="D134" s="313">
        <f>'High Risk Non-Compliant'!D90</f>
        <v>0</v>
      </c>
      <c r="E134" s="313"/>
      <c r="F134" s="313"/>
      <c r="G134" s="149" t="e">
        <f>IF(VLOOKUP(A134,'High Risk Non-Compliant'!B:K,$H$48,FALSE)=0,"N/A",VLOOKUP(A134,'High Risk Non-Compliant'!B:K,$H$48,FALSE))</f>
        <v>#REF!</v>
      </c>
      <c r="H134" s="149" t="e">
        <f>IF(G134="N/A","N/A",VLOOKUP(G134,'Crosswalk Detail'!A:B,2,FALSE))</f>
        <v>#REF!</v>
      </c>
    </row>
    <row r="135" spans="1:8" ht="144" customHeight="1" x14ac:dyDescent="0.2">
      <c r="A135" s="150" t="str">
        <f>'High Risk Non-Compliant'!B91</f>
        <v>COMP-04</v>
      </c>
      <c r="B135" s="314" t="str">
        <f>'High Risk Non-Compliant'!C91</f>
        <v>Have you had a significant breach in the last 5 years?</v>
      </c>
      <c r="C135" s="314"/>
      <c r="D135" s="313">
        <f>'High Risk Non-Compliant'!D91</f>
        <v>0</v>
      </c>
      <c r="E135" s="313"/>
      <c r="F135" s="313"/>
      <c r="G135" s="149" t="e">
        <f>IF(VLOOKUP(A135,'High Risk Non-Compliant'!B:K,$H$48,FALSE)=0,"N/A",VLOOKUP(A135,'High Risk Non-Compliant'!B:K,$H$48,FALSE))</f>
        <v>#REF!</v>
      </c>
      <c r="H135" s="149" t="e">
        <f>IF(G135="N/A","N/A",VLOOKUP(G135,'Crosswalk Detail'!A:B,2,FALSE))</f>
        <v>#REF!</v>
      </c>
    </row>
    <row r="136" spans="1:8" ht="144" customHeight="1" x14ac:dyDescent="0.2">
      <c r="A136" s="150" t="str">
        <f>'High Risk Non-Compliant'!B92</f>
        <v>COMP-05</v>
      </c>
      <c r="B136" s="314" t="str">
        <f>'High Risk Non-Compliant'!C92</f>
        <v>Do you have a dedicated Information Security staff or office?</v>
      </c>
      <c r="C136" s="314"/>
      <c r="D136" s="313">
        <f>'High Risk Non-Compliant'!D92</f>
        <v>0</v>
      </c>
      <c r="E136" s="313"/>
      <c r="F136" s="313"/>
      <c r="G136" s="149" t="e">
        <f>IF(VLOOKUP(A136,'High Risk Non-Compliant'!B:K,$H$48,FALSE)=0,"N/A",VLOOKUP(A136,'High Risk Non-Compliant'!B:K,$H$48,FALSE))</f>
        <v>#REF!</v>
      </c>
      <c r="H136" s="149" t="e">
        <f>IF(G136="N/A","N/A",VLOOKUP(G136,'Crosswalk Detail'!A:B,2,FALSE))</f>
        <v>#REF!</v>
      </c>
    </row>
    <row r="137" spans="1:8" ht="144" customHeight="1" x14ac:dyDescent="0.2">
      <c r="A137" s="150" t="str">
        <f>'High Risk Non-Compliant'!B93</f>
        <v>COMP-07</v>
      </c>
      <c r="B137" s="314" t="str">
        <f>'High Risk Non-Compliant'!C93</f>
        <v>Use this area to share information about your environment that will assist those who are assessing your company data security program.</v>
      </c>
      <c r="C137" s="314"/>
      <c r="D137" s="313">
        <f>'High Risk Non-Compliant'!D93</f>
        <v>0</v>
      </c>
      <c r="E137" s="313"/>
      <c r="F137" s="313"/>
      <c r="G137" s="149" t="e">
        <f>IF(VLOOKUP(A137,'High Risk Non-Compliant'!B:K,$H$48,FALSE)=0,"N/A",VLOOKUP(A137,'High Risk Non-Compliant'!B:K,$H$48,FALSE))</f>
        <v>#REF!</v>
      </c>
      <c r="H137" s="149" t="e">
        <f>IF(G137="N/A","N/A",VLOOKUP(G137,'Crosswalk Detail'!A:B,2,FALSE))</f>
        <v>#REF!</v>
      </c>
    </row>
    <row r="138" spans="1:8" ht="144" customHeight="1" x14ac:dyDescent="0.2">
      <c r="A138" s="150">
        <f>'High Risk Non-Compliant'!B94</f>
        <v>0</v>
      </c>
      <c r="B138" s="314">
        <f>'High Risk Non-Compliant'!C94</f>
        <v>0</v>
      </c>
      <c r="C138" s="314"/>
      <c r="D138" s="313">
        <f>'High Risk Non-Compliant'!D94</f>
        <v>0</v>
      </c>
      <c r="E138" s="313"/>
      <c r="F138" s="313"/>
      <c r="G138" s="149" t="e">
        <f>IF(VLOOKUP(A138,'High Risk Non-Compliant'!B:K,$H$48,FALSE)=0,"N/A",VLOOKUP(A138,'High Risk Non-Compliant'!B:K,$H$48,FALSE))</f>
        <v>#REF!</v>
      </c>
      <c r="H138" s="149" t="e">
        <f>IF(G138="N/A","N/A",VLOOKUP(G138,'Crosswalk Detail'!A:B,2,FALSE))</f>
        <v>#REF!</v>
      </c>
    </row>
    <row r="139" spans="1:8" ht="144" customHeight="1" x14ac:dyDescent="0.2">
      <c r="A139" s="150">
        <f>'High Risk Non-Compliant'!B95</f>
        <v>0</v>
      </c>
      <c r="B139" s="314">
        <f>'High Risk Non-Compliant'!C95</f>
        <v>0</v>
      </c>
      <c r="C139" s="314"/>
      <c r="D139" s="313">
        <f>'High Risk Non-Compliant'!D95</f>
        <v>0</v>
      </c>
      <c r="E139" s="313"/>
      <c r="F139" s="313"/>
      <c r="G139" s="149" t="e">
        <f>IF(VLOOKUP(A139,'High Risk Non-Compliant'!B:K,$H$48,FALSE)=0,"N/A",VLOOKUP(A139,'High Risk Non-Compliant'!B:K,$H$48,FALSE))</f>
        <v>#REF!</v>
      </c>
      <c r="H139" s="149" t="e">
        <f>IF(G139="N/A","N/A",VLOOKUP(G139,'Crosswalk Detail'!A:B,2,FALSE))</f>
        <v>#REF!</v>
      </c>
    </row>
    <row r="140" spans="1:8" ht="144" customHeight="1" x14ac:dyDescent="0.2">
      <c r="A140" s="150">
        <f>'High Risk Non-Compliant'!B96</f>
        <v>0</v>
      </c>
      <c r="B140" s="314">
        <f>'High Risk Non-Compliant'!C96</f>
        <v>0</v>
      </c>
      <c r="C140" s="314"/>
      <c r="D140" s="313">
        <f>'High Risk Non-Compliant'!D96</f>
        <v>0</v>
      </c>
      <c r="E140" s="313"/>
      <c r="F140" s="313"/>
      <c r="G140" s="149" t="e">
        <f>IF(VLOOKUP(A140,'High Risk Non-Compliant'!B:K,$H$48,FALSE)=0,"N/A",VLOOKUP(A140,'High Risk Non-Compliant'!B:K,$H$48,FALSE))</f>
        <v>#REF!</v>
      </c>
      <c r="H140" s="149" t="e">
        <f>IF(G140="N/A","N/A",VLOOKUP(G140,'Crosswalk Detail'!A:B,2,FALSE))</f>
        <v>#REF!</v>
      </c>
    </row>
    <row r="141" spans="1:8" ht="144" customHeight="1" x14ac:dyDescent="0.2">
      <c r="A141" s="150">
        <f>'High Risk Non-Compliant'!B97</f>
        <v>0</v>
      </c>
      <c r="B141" s="314">
        <f>'High Risk Non-Compliant'!C97</f>
        <v>0</v>
      </c>
      <c r="C141" s="314"/>
      <c r="D141" s="313">
        <f>'High Risk Non-Compliant'!D97</f>
        <v>0</v>
      </c>
      <c r="E141" s="313"/>
      <c r="F141" s="313"/>
      <c r="G141" s="149" t="e">
        <f>IF(VLOOKUP(A141,'High Risk Non-Compliant'!B:K,$H$48,FALSE)=0,"N/A",VLOOKUP(A141,'High Risk Non-Compliant'!B:K,$H$48,FALSE))</f>
        <v>#REF!</v>
      </c>
      <c r="H141" s="149" t="e">
        <f>IF(G141="N/A","N/A",VLOOKUP(G141,'Crosswalk Detail'!A:B,2,FALSE))</f>
        <v>#REF!</v>
      </c>
    </row>
    <row r="142" spans="1:8" ht="144" customHeight="1" x14ac:dyDescent="0.2">
      <c r="A142" s="150">
        <f>'High Risk Non-Compliant'!B98</f>
        <v>0</v>
      </c>
      <c r="B142" s="314">
        <f>'High Risk Non-Compliant'!C98</f>
        <v>0</v>
      </c>
      <c r="C142" s="314"/>
      <c r="D142" s="313">
        <f>'High Risk Non-Compliant'!D98</f>
        <v>0</v>
      </c>
      <c r="E142" s="313"/>
      <c r="F142" s="313"/>
      <c r="G142" s="149" t="e">
        <f>IF(VLOOKUP(A142,'High Risk Non-Compliant'!B:K,$H$48,FALSE)=0,"N/A",VLOOKUP(A142,'High Risk Non-Compliant'!B:K,$H$48,FALSE))</f>
        <v>#REF!</v>
      </c>
      <c r="H142" s="149" t="e">
        <f>IF(G142="N/A","N/A",VLOOKUP(G142,'Crosswalk Detail'!A:B,2,FALSE))</f>
        <v>#REF!</v>
      </c>
    </row>
    <row r="143" spans="1:8" ht="144" customHeight="1" x14ac:dyDescent="0.2">
      <c r="A143" s="150">
        <f>'High Risk Non-Compliant'!B99</f>
        <v>0</v>
      </c>
      <c r="B143" s="314">
        <f>'High Risk Non-Compliant'!C99</f>
        <v>0</v>
      </c>
      <c r="C143" s="314"/>
      <c r="D143" s="313">
        <f>'High Risk Non-Compliant'!D99</f>
        <v>0</v>
      </c>
      <c r="E143" s="313"/>
      <c r="F143" s="313"/>
      <c r="G143" s="149" t="e">
        <f>IF(VLOOKUP(A143,'High Risk Non-Compliant'!B:K,$H$48,FALSE)=0,"N/A",VLOOKUP(A143,'High Risk Non-Compliant'!B:K,$H$48,FALSE))</f>
        <v>#REF!</v>
      </c>
      <c r="H143" s="149" t="e">
        <f>IF(G143="N/A","N/A",VLOOKUP(G143,'Crosswalk Detail'!A:B,2,FALSE))</f>
        <v>#REF!</v>
      </c>
    </row>
    <row r="144" spans="1:8" ht="144" customHeight="1" x14ac:dyDescent="0.2">
      <c r="A144" s="150">
        <f>'High Risk Non-Compliant'!B100</f>
        <v>0</v>
      </c>
      <c r="B144" s="314">
        <f>'High Risk Non-Compliant'!C100</f>
        <v>0</v>
      </c>
      <c r="C144" s="314"/>
      <c r="D144" s="313">
        <f>'High Risk Non-Compliant'!D100</f>
        <v>0</v>
      </c>
      <c r="E144" s="313"/>
      <c r="F144" s="313"/>
      <c r="G144" s="149" t="e">
        <f>IF(VLOOKUP(A144,'High Risk Non-Compliant'!B:K,$H$48,FALSE)=0,"N/A",VLOOKUP(A144,'High Risk Non-Compliant'!B:K,$H$48,FALSE))</f>
        <v>#REF!</v>
      </c>
      <c r="H144" s="149" t="e">
        <f>IF(G144="N/A","N/A",VLOOKUP(G144,'Crosswalk Detail'!A:B,2,FALSE))</f>
        <v>#REF!</v>
      </c>
    </row>
    <row r="145" spans="1:8" ht="144" customHeight="1" x14ac:dyDescent="0.2">
      <c r="A145" s="150">
        <f>'High Risk Non-Compliant'!B101</f>
        <v>0</v>
      </c>
      <c r="B145" s="314">
        <f>'High Risk Non-Compliant'!C101</f>
        <v>0</v>
      </c>
      <c r="C145" s="314"/>
      <c r="D145" s="313">
        <f>'High Risk Non-Compliant'!D101</f>
        <v>0</v>
      </c>
      <c r="E145" s="313"/>
      <c r="F145" s="313"/>
      <c r="G145" s="149" t="e">
        <f>IF(VLOOKUP(A145,'High Risk Non-Compliant'!B:K,$H$48,FALSE)=0,"N/A",VLOOKUP(A145,'High Risk Non-Compliant'!B:K,$H$48,FALSE))</f>
        <v>#REF!</v>
      </c>
      <c r="H145" s="149" t="e">
        <f>IF(G145="N/A","N/A",VLOOKUP(G145,'Crosswalk Detail'!A:B,2,FALSE))</f>
        <v>#REF!</v>
      </c>
    </row>
    <row r="146" spans="1:8" ht="144" customHeight="1" x14ac:dyDescent="0.2">
      <c r="A146" s="150">
        <f>'High Risk Non-Compliant'!B102</f>
        <v>0</v>
      </c>
      <c r="B146" s="314">
        <f>'High Risk Non-Compliant'!C102</f>
        <v>0</v>
      </c>
      <c r="C146" s="314"/>
      <c r="D146" s="313">
        <f>'High Risk Non-Compliant'!D102</f>
        <v>0</v>
      </c>
      <c r="E146" s="313"/>
      <c r="F146" s="313"/>
      <c r="G146" s="149" t="e">
        <f>IF(VLOOKUP(A146,'High Risk Non-Compliant'!B:K,$H$48,FALSE)=0,"N/A",VLOOKUP(A146,'High Risk Non-Compliant'!B:K,$H$48,FALSE))</f>
        <v>#REF!</v>
      </c>
      <c r="H146" s="149" t="e">
        <f>IF(G146="N/A","N/A",VLOOKUP(G146,'Crosswalk Detail'!A:B,2,FALSE))</f>
        <v>#REF!</v>
      </c>
    </row>
    <row r="147" spans="1:8" ht="144" customHeight="1" x14ac:dyDescent="0.2">
      <c r="A147" s="150">
        <f>'High Risk Non-Compliant'!B103</f>
        <v>0</v>
      </c>
      <c r="B147" s="314">
        <f>'High Risk Non-Compliant'!C103</f>
        <v>0</v>
      </c>
      <c r="C147" s="314"/>
      <c r="D147" s="313">
        <f>'High Risk Non-Compliant'!D103</f>
        <v>0</v>
      </c>
      <c r="E147" s="313"/>
      <c r="F147" s="313"/>
      <c r="G147" s="149" t="e">
        <f>IF(VLOOKUP(A147,'High Risk Non-Compliant'!B:K,$H$48,FALSE)=0,"N/A",VLOOKUP(A147,'High Risk Non-Compliant'!B:K,$H$48,FALSE))</f>
        <v>#REF!</v>
      </c>
      <c r="H147" s="149" t="e">
        <f>IF(G147="N/A","N/A",VLOOKUP(G147,'Crosswalk Detail'!A:B,2,FALSE))</f>
        <v>#REF!</v>
      </c>
    </row>
    <row r="148" spans="1:8" ht="144" customHeight="1" x14ac:dyDescent="0.2">
      <c r="A148" s="150">
        <f>'High Risk Non-Compliant'!B104</f>
        <v>0</v>
      </c>
      <c r="B148" s="314">
        <f>'High Risk Non-Compliant'!C104</f>
        <v>0</v>
      </c>
      <c r="C148" s="314"/>
      <c r="D148" s="313">
        <f>'High Risk Non-Compliant'!D104</f>
        <v>0</v>
      </c>
      <c r="E148" s="313"/>
      <c r="F148" s="313"/>
      <c r="G148" s="149" t="e">
        <f>IF(VLOOKUP(A148,'High Risk Non-Compliant'!B:K,$H$48,FALSE)=0,"N/A",VLOOKUP(A148,'High Risk Non-Compliant'!B:K,$H$48,FALSE))</f>
        <v>#REF!</v>
      </c>
      <c r="H148" s="149" t="e">
        <f>IF(G148="N/A","N/A",VLOOKUP(G148,'Crosswalk Detail'!A:B,2,FALSE))</f>
        <v>#REF!</v>
      </c>
    </row>
    <row r="149" spans="1:8" ht="144" customHeight="1" x14ac:dyDescent="0.2">
      <c r="A149" s="150">
        <f>'High Risk Non-Compliant'!B105</f>
        <v>0</v>
      </c>
      <c r="B149" s="314">
        <f>'High Risk Non-Compliant'!C105</f>
        <v>0</v>
      </c>
      <c r="C149" s="314"/>
      <c r="D149" s="313">
        <f>'High Risk Non-Compliant'!D105</f>
        <v>0</v>
      </c>
      <c r="E149" s="313"/>
      <c r="F149" s="313"/>
      <c r="G149" s="149" t="e">
        <f>IF(VLOOKUP(A149,'High Risk Non-Compliant'!B:K,$H$48,FALSE)=0,"N/A",VLOOKUP(A149,'High Risk Non-Compliant'!B:K,$H$48,FALSE))</f>
        <v>#REF!</v>
      </c>
      <c r="H149" s="149" t="e">
        <f>IF(G149="N/A","N/A",VLOOKUP(G149,'Crosswalk Detail'!A:B,2,FALSE))</f>
        <v>#REF!</v>
      </c>
    </row>
    <row r="150" spans="1:8" ht="144" customHeight="1" x14ac:dyDescent="0.2">
      <c r="A150" s="150">
        <f>'High Risk Non-Compliant'!B106</f>
        <v>0</v>
      </c>
      <c r="B150" s="314">
        <f>'High Risk Non-Compliant'!C106</f>
        <v>0</v>
      </c>
      <c r="C150" s="314"/>
      <c r="D150" s="313">
        <f>'High Risk Non-Compliant'!D106</f>
        <v>0</v>
      </c>
      <c r="E150" s="313"/>
      <c r="F150" s="313"/>
      <c r="G150" s="149" t="e">
        <f>IF(VLOOKUP(A150,'High Risk Non-Compliant'!B:K,$H$48,FALSE)=0,"N/A",VLOOKUP(A150,'High Risk Non-Compliant'!B:K,$H$48,FALSE))</f>
        <v>#REF!</v>
      </c>
      <c r="H150" s="149" t="e">
        <f>IF(G150="N/A","N/A",VLOOKUP(G150,'Crosswalk Detail'!A:B,2,FALSE))</f>
        <v>#REF!</v>
      </c>
    </row>
    <row r="151" spans="1:8" ht="144" customHeight="1" x14ac:dyDescent="0.2">
      <c r="A151" s="150">
        <f>'High Risk Non-Compliant'!B107</f>
        <v>0</v>
      </c>
      <c r="B151" s="314">
        <f>'High Risk Non-Compliant'!C107</f>
        <v>0</v>
      </c>
      <c r="C151" s="314"/>
      <c r="D151" s="313">
        <f>'High Risk Non-Compliant'!D107</f>
        <v>0</v>
      </c>
      <c r="E151" s="313"/>
      <c r="F151" s="313"/>
      <c r="G151" s="149" t="e">
        <f>IF(VLOOKUP(A151,'High Risk Non-Compliant'!B:K,$H$48,FALSE)=0,"N/A",VLOOKUP(A151,'High Risk Non-Compliant'!B:K,$H$48,FALSE))</f>
        <v>#REF!</v>
      </c>
      <c r="H151" s="149" t="e">
        <f>IF(G151="N/A","N/A",VLOOKUP(G151,'Crosswalk Detail'!A:B,2,FALSE))</f>
        <v>#REF!</v>
      </c>
    </row>
    <row r="152" spans="1:8" ht="144" customHeight="1" x14ac:dyDescent="0.2">
      <c r="A152" s="150">
        <f>'High Risk Non-Compliant'!B108</f>
        <v>0</v>
      </c>
      <c r="B152" s="314">
        <f>'High Risk Non-Compliant'!C108</f>
        <v>0</v>
      </c>
      <c r="C152" s="314"/>
      <c r="D152" s="313">
        <f>'High Risk Non-Compliant'!D108</f>
        <v>0</v>
      </c>
      <c r="E152" s="313"/>
      <c r="F152" s="313"/>
      <c r="G152" s="149" t="e">
        <f>IF(VLOOKUP(A152,'High Risk Non-Compliant'!B:K,$H$48,FALSE)=0,"N/A",VLOOKUP(A152,'High Risk Non-Compliant'!B:K,$H$48,FALSE))</f>
        <v>#REF!</v>
      </c>
      <c r="H152" s="149" t="e">
        <f>IF(G152="N/A","N/A",VLOOKUP(G152,'Crosswalk Detail'!A:B,2,FALSE))</f>
        <v>#REF!</v>
      </c>
    </row>
    <row r="153" spans="1:8" ht="144" customHeight="1" x14ac:dyDescent="0.2">
      <c r="A153" s="150">
        <f>'High Risk Non-Compliant'!B109</f>
        <v>0</v>
      </c>
      <c r="B153" s="314">
        <f>'High Risk Non-Compliant'!C109</f>
        <v>0</v>
      </c>
      <c r="C153" s="314"/>
      <c r="D153" s="313">
        <f>'High Risk Non-Compliant'!D109</f>
        <v>0</v>
      </c>
      <c r="E153" s="313"/>
      <c r="F153" s="313"/>
      <c r="G153" s="149" t="e">
        <f>IF(VLOOKUP(A153,'High Risk Non-Compliant'!B:K,$H$48,FALSE)=0,"N/A",VLOOKUP(A153,'High Risk Non-Compliant'!B:K,$H$48,FALSE))</f>
        <v>#REF!</v>
      </c>
      <c r="H153" s="149" t="e">
        <f>IF(G153="N/A","N/A",VLOOKUP(G153,'Crosswalk Detail'!A:B,2,FALSE))</f>
        <v>#REF!</v>
      </c>
    </row>
    <row r="154" spans="1:8" ht="144" customHeight="1" x14ac:dyDescent="0.2">
      <c r="A154" s="150">
        <f>'High Risk Non-Compliant'!B110</f>
        <v>0</v>
      </c>
      <c r="B154" s="314">
        <f>'High Risk Non-Compliant'!C110</f>
        <v>0</v>
      </c>
      <c r="C154" s="314"/>
      <c r="D154" s="313">
        <f>'High Risk Non-Compliant'!D110</f>
        <v>0</v>
      </c>
      <c r="E154" s="313"/>
      <c r="F154" s="313"/>
      <c r="G154" s="149" t="e">
        <f>IF(VLOOKUP(A154,'High Risk Non-Compliant'!B:K,$H$48,FALSE)=0,"N/A",VLOOKUP(A154,'High Risk Non-Compliant'!B:K,$H$48,FALSE))</f>
        <v>#REF!</v>
      </c>
      <c r="H154" s="149" t="e">
        <f>IF(G154="N/A","N/A",VLOOKUP(G154,'Crosswalk Detail'!A:B,2,FALSE))</f>
        <v>#REF!</v>
      </c>
    </row>
    <row r="155" spans="1:8" ht="144" customHeight="1" x14ac:dyDescent="0.2">
      <c r="A155" s="150">
        <f>'High Risk Non-Compliant'!B111</f>
        <v>0</v>
      </c>
      <c r="B155" s="314">
        <f>'High Risk Non-Compliant'!C111</f>
        <v>0</v>
      </c>
      <c r="C155" s="314"/>
      <c r="D155" s="313">
        <f>'High Risk Non-Compliant'!D111</f>
        <v>0</v>
      </c>
      <c r="E155" s="313"/>
      <c r="F155" s="313"/>
      <c r="G155" s="149" t="e">
        <f>IF(VLOOKUP(A155,'High Risk Non-Compliant'!B:K,$H$48,FALSE)=0,"N/A",VLOOKUP(A155,'High Risk Non-Compliant'!B:K,$H$48,FALSE))</f>
        <v>#REF!</v>
      </c>
      <c r="H155" s="149" t="e">
        <f>IF(G155="N/A","N/A",VLOOKUP(G155,'Crosswalk Detail'!A:B,2,FALSE))</f>
        <v>#REF!</v>
      </c>
    </row>
    <row r="156" spans="1:8" ht="144" customHeight="1" x14ac:dyDescent="0.2">
      <c r="A156" s="150">
        <f>'High Risk Non-Compliant'!B112</f>
        <v>0</v>
      </c>
      <c r="B156" s="314">
        <f>'High Risk Non-Compliant'!C112</f>
        <v>0</v>
      </c>
      <c r="C156" s="314"/>
      <c r="D156" s="313">
        <f>'High Risk Non-Compliant'!D112</f>
        <v>0</v>
      </c>
      <c r="E156" s="313"/>
      <c r="F156" s="313"/>
      <c r="G156" s="149" t="e">
        <f>IF(VLOOKUP(A156,'High Risk Non-Compliant'!B:K,$H$48,FALSE)=0,"N/A",VLOOKUP(A156,'High Risk Non-Compliant'!B:K,$H$48,FALSE))</f>
        <v>#REF!</v>
      </c>
      <c r="H156" s="149" t="e">
        <f>IF(G156="N/A","N/A",VLOOKUP(G156,'Crosswalk Detail'!A:B,2,FALSE))</f>
        <v>#REF!</v>
      </c>
    </row>
    <row r="157" spans="1:8" ht="144" customHeight="1" x14ac:dyDescent="0.2">
      <c r="A157" s="150">
        <f>'High Risk Non-Compliant'!B113</f>
        <v>0</v>
      </c>
      <c r="B157" s="314">
        <f>'High Risk Non-Compliant'!C113</f>
        <v>0</v>
      </c>
      <c r="C157" s="314"/>
      <c r="D157" s="313">
        <f>'High Risk Non-Compliant'!D113</f>
        <v>0</v>
      </c>
      <c r="E157" s="313"/>
      <c r="F157" s="313"/>
      <c r="G157" s="149" t="e">
        <f>IF(VLOOKUP(A157,'High Risk Non-Compliant'!B:K,$H$48,FALSE)=0,"N/A",VLOOKUP(A157,'High Risk Non-Compliant'!B:K,$H$48,FALSE))</f>
        <v>#REF!</v>
      </c>
      <c r="H157" s="149" t="e">
        <f>IF(G157="N/A","N/A",VLOOKUP(G157,'Crosswalk Detail'!A:B,2,FALSE))</f>
        <v>#REF!</v>
      </c>
    </row>
    <row r="158" spans="1:8" ht="144" customHeight="1" x14ac:dyDescent="0.2">
      <c r="A158" s="150">
        <f>'High Risk Non-Compliant'!B114</f>
        <v>0</v>
      </c>
      <c r="B158" s="314">
        <f>'High Risk Non-Compliant'!C114</f>
        <v>0</v>
      </c>
      <c r="C158" s="314"/>
      <c r="D158" s="313">
        <f>'High Risk Non-Compliant'!D114</f>
        <v>0</v>
      </c>
      <c r="E158" s="313"/>
      <c r="F158" s="313"/>
      <c r="G158" s="149" t="e">
        <f>IF(VLOOKUP(A158,'High Risk Non-Compliant'!B:K,$H$48,FALSE)=0,"N/A",VLOOKUP(A158,'High Risk Non-Compliant'!B:K,$H$48,FALSE))</f>
        <v>#REF!</v>
      </c>
      <c r="H158" s="149" t="e">
        <f>IF(G158="N/A","N/A",VLOOKUP(G158,'Crosswalk Detail'!A:B,2,FALSE))</f>
        <v>#REF!</v>
      </c>
    </row>
    <row r="159" spans="1:8" ht="144" customHeight="1" x14ac:dyDescent="0.2">
      <c r="A159" s="150">
        <f>'High Risk Non-Compliant'!B115</f>
        <v>0</v>
      </c>
      <c r="B159" s="314">
        <f>'High Risk Non-Compliant'!C115</f>
        <v>0</v>
      </c>
      <c r="C159" s="314"/>
      <c r="D159" s="313">
        <f>'High Risk Non-Compliant'!D115</f>
        <v>0</v>
      </c>
      <c r="E159" s="313"/>
      <c r="F159" s="313"/>
      <c r="G159" s="149" t="e">
        <f>IF(VLOOKUP(A159,'High Risk Non-Compliant'!B:K,$H$48,FALSE)=0,"N/A",VLOOKUP(A159,'High Risk Non-Compliant'!B:K,$H$48,FALSE))</f>
        <v>#REF!</v>
      </c>
      <c r="H159" s="149" t="e">
        <f>IF(G159="N/A","N/A",VLOOKUP(G159,'Crosswalk Detail'!A:B,2,FALSE))</f>
        <v>#REF!</v>
      </c>
    </row>
    <row r="160" spans="1:8" ht="144" customHeight="1" x14ac:dyDescent="0.2">
      <c r="A160" s="150">
        <f>'High Risk Non-Compliant'!B116</f>
        <v>0</v>
      </c>
      <c r="B160" s="314">
        <f>'High Risk Non-Compliant'!C116</f>
        <v>0</v>
      </c>
      <c r="C160" s="314"/>
      <c r="D160" s="313">
        <f>'High Risk Non-Compliant'!D116</f>
        <v>0</v>
      </c>
      <c r="E160" s="313"/>
      <c r="F160" s="313"/>
      <c r="G160" s="149" t="e">
        <f>IF(VLOOKUP(A160,'High Risk Non-Compliant'!B:K,$H$48,FALSE)=0,"N/A",VLOOKUP(A160,'High Risk Non-Compliant'!B:K,$H$48,FALSE))</f>
        <v>#REF!</v>
      </c>
      <c r="H160" s="149" t="e">
        <f>IF(G160="N/A","N/A",VLOOKUP(G160,'Crosswalk Detail'!A:B,2,FALSE))</f>
        <v>#REF!</v>
      </c>
    </row>
    <row r="161" spans="1:8" ht="144" customHeight="1" x14ac:dyDescent="0.2">
      <c r="A161" s="150">
        <f>'High Risk Non-Compliant'!B117</f>
        <v>0</v>
      </c>
      <c r="B161" s="314">
        <f>'High Risk Non-Compliant'!C117</f>
        <v>0</v>
      </c>
      <c r="C161" s="314"/>
      <c r="D161" s="313">
        <f>'High Risk Non-Compliant'!D117</f>
        <v>0</v>
      </c>
      <c r="E161" s="313"/>
      <c r="F161" s="313"/>
      <c r="G161" s="149" t="e">
        <f>IF(VLOOKUP(A161,'High Risk Non-Compliant'!B:K,$H$48,FALSE)=0,"N/A",VLOOKUP(A161,'High Risk Non-Compliant'!B:K,$H$48,FALSE))</f>
        <v>#REF!</v>
      </c>
      <c r="H161" s="149" t="e">
        <f>IF(G161="N/A","N/A",VLOOKUP(G161,'Crosswalk Detail'!A:B,2,FALSE))</f>
        <v>#REF!</v>
      </c>
    </row>
    <row r="162" spans="1:8" ht="144" customHeight="1" x14ac:dyDescent="0.2">
      <c r="A162" s="150">
        <f>'High Risk Non-Compliant'!B118</f>
        <v>0</v>
      </c>
      <c r="B162" s="314">
        <f>'High Risk Non-Compliant'!C118</f>
        <v>0</v>
      </c>
      <c r="C162" s="314"/>
      <c r="D162" s="313">
        <f>'High Risk Non-Compliant'!D118</f>
        <v>0</v>
      </c>
      <c r="E162" s="313"/>
      <c r="F162" s="313"/>
      <c r="G162" s="149" t="e">
        <f>IF(VLOOKUP(A162,'High Risk Non-Compliant'!B:K,$H$48,FALSE)=0,"N/A",VLOOKUP(A162,'High Risk Non-Compliant'!B:K,$H$48,FALSE))</f>
        <v>#REF!</v>
      </c>
      <c r="H162" s="149" t="e">
        <f>IF(G162="N/A","N/A",VLOOKUP(G162,'Crosswalk Detail'!A:B,2,FALSE))</f>
        <v>#REF!</v>
      </c>
    </row>
    <row r="163" spans="1:8" ht="144" customHeight="1" x14ac:dyDescent="0.2">
      <c r="A163" s="150">
        <f>'High Risk Non-Compliant'!B119</f>
        <v>0</v>
      </c>
      <c r="B163" s="314">
        <f>'High Risk Non-Compliant'!C119</f>
        <v>0</v>
      </c>
      <c r="C163" s="314"/>
      <c r="D163" s="313">
        <f>'High Risk Non-Compliant'!D119</f>
        <v>0</v>
      </c>
      <c r="E163" s="313"/>
      <c r="F163" s="313"/>
      <c r="G163" s="149" t="e">
        <f>IF(VLOOKUP(A163,'High Risk Non-Compliant'!B:K,$H$48,FALSE)=0,"N/A",VLOOKUP(A163,'High Risk Non-Compliant'!B:K,$H$48,FALSE))</f>
        <v>#REF!</v>
      </c>
      <c r="H163" s="149" t="e">
        <f>IF(G163="N/A","N/A",VLOOKUP(G163,'Crosswalk Detail'!A:B,2,FALSE))</f>
        <v>#REF!</v>
      </c>
    </row>
    <row r="164" spans="1:8" ht="144" customHeight="1" x14ac:dyDescent="0.2">
      <c r="A164" s="150">
        <f>'High Risk Non-Compliant'!B120</f>
        <v>0</v>
      </c>
      <c r="B164" s="314">
        <f>'High Risk Non-Compliant'!C120</f>
        <v>0</v>
      </c>
      <c r="C164" s="314"/>
      <c r="D164" s="313">
        <f>'High Risk Non-Compliant'!D120</f>
        <v>0</v>
      </c>
      <c r="E164" s="313"/>
      <c r="F164" s="313"/>
      <c r="G164" s="149" t="e">
        <f>IF(VLOOKUP(A164,'High Risk Non-Compliant'!B:K,$H$48,FALSE)=0,"N/A",VLOOKUP(A164,'High Risk Non-Compliant'!B:K,$H$48,FALSE))</f>
        <v>#REF!</v>
      </c>
      <c r="H164" s="149" t="e">
        <f>IF(G164="N/A","N/A",VLOOKUP(G164,'Crosswalk Detail'!A:B,2,FALSE))</f>
        <v>#REF!</v>
      </c>
    </row>
    <row r="165" spans="1:8" ht="144" customHeight="1" x14ac:dyDescent="0.2">
      <c r="A165" s="150">
        <f>'High Risk Non-Compliant'!B121</f>
        <v>0</v>
      </c>
      <c r="B165" s="314">
        <f>'High Risk Non-Compliant'!C121</f>
        <v>0</v>
      </c>
      <c r="C165" s="314"/>
      <c r="D165" s="313">
        <f>'High Risk Non-Compliant'!D121</f>
        <v>0</v>
      </c>
      <c r="E165" s="313"/>
      <c r="F165" s="313"/>
      <c r="G165" s="149" t="e">
        <f>IF(VLOOKUP(A165,'High Risk Non-Compliant'!B:K,$H$48,FALSE)=0,"N/A",VLOOKUP(A165,'High Risk Non-Compliant'!B:K,$H$48,FALSE))</f>
        <v>#REF!</v>
      </c>
      <c r="H165" s="149" t="e">
        <f>IF(G165="N/A","N/A",VLOOKUP(G165,'Crosswalk Detail'!A:B,2,FALSE))</f>
        <v>#REF!</v>
      </c>
    </row>
    <row r="166" spans="1:8" ht="144" customHeight="1" x14ac:dyDescent="0.2">
      <c r="A166" s="150">
        <f>'High Risk Non-Compliant'!B122</f>
        <v>0</v>
      </c>
      <c r="B166" s="314">
        <f>'High Risk Non-Compliant'!C122</f>
        <v>0</v>
      </c>
      <c r="C166" s="314"/>
      <c r="D166" s="313">
        <f>'High Risk Non-Compliant'!D122</f>
        <v>0</v>
      </c>
      <c r="E166" s="313"/>
      <c r="F166" s="313"/>
      <c r="G166" s="149" t="e">
        <f>IF(VLOOKUP(A166,'High Risk Non-Compliant'!B:K,$H$48,FALSE)=0,"N/A",VLOOKUP(A166,'High Risk Non-Compliant'!B:K,$H$48,FALSE))</f>
        <v>#REF!</v>
      </c>
      <c r="H166" s="149" t="e">
        <f>IF(G166="N/A","N/A",VLOOKUP(G166,'Crosswalk Detail'!A:B,2,FALSE))</f>
        <v>#REF!</v>
      </c>
    </row>
    <row r="167" spans="1:8" ht="144" customHeight="1" x14ac:dyDescent="0.2">
      <c r="A167" s="150">
        <f>'High Risk Non-Compliant'!B123</f>
        <v>0</v>
      </c>
      <c r="B167" s="314">
        <f>'High Risk Non-Compliant'!C123</f>
        <v>0</v>
      </c>
      <c r="C167" s="314"/>
      <c r="D167" s="313">
        <f>'High Risk Non-Compliant'!D123</f>
        <v>0</v>
      </c>
      <c r="E167" s="313"/>
      <c r="F167" s="313"/>
      <c r="G167" s="149" t="e">
        <f>IF(VLOOKUP(A167,'High Risk Non-Compliant'!B:K,$H$48,FALSE)=0,"N/A",VLOOKUP(A167,'High Risk Non-Compliant'!B:K,$H$48,FALSE))</f>
        <v>#REF!</v>
      </c>
      <c r="H167" s="149" t="e">
        <f>IF(G167="N/A","N/A",VLOOKUP(G167,'Crosswalk Detail'!A:B,2,FALSE))</f>
        <v>#REF!</v>
      </c>
    </row>
    <row r="168" spans="1:8" ht="144" customHeight="1" x14ac:dyDescent="0.2">
      <c r="A168" s="150">
        <f>'High Risk Non-Compliant'!B124</f>
        <v>0</v>
      </c>
      <c r="B168" s="314">
        <f>'High Risk Non-Compliant'!C124</f>
        <v>0</v>
      </c>
      <c r="C168" s="314"/>
      <c r="D168" s="313">
        <f>'High Risk Non-Compliant'!D124</f>
        <v>0</v>
      </c>
      <c r="E168" s="313"/>
      <c r="F168" s="313"/>
      <c r="G168" s="149" t="e">
        <f>IF(VLOOKUP(A168,'High Risk Non-Compliant'!B:K,$H$48,FALSE)=0,"N/A",VLOOKUP(A168,'High Risk Non-Compliant'!B:K,$H$48,FALSE))</f>
        <v>#REF!</v>
      </c>
      <c r="H168" s="149" t="e">
        <f>IF(G168="N/A","N/A",VLOOKUP(G168,'Crosswalk Detail'!A:B,2,FALSE))</f>
        <v>#REF!</v>
      </c>
    </row>
    <row r="169" spans="1:8" ht="144" customHeight="1" x14ac:dyDescent="0.2">
      <c r="A169" s="150">
        <f>'High Risk Non-Compliant'!B125</f>
        <v>0</v>
      </c>
      <c r="B169" s="314">
        <f>'High Risk Non-Compliant'!C125</f>
        <v>0</v>
      </c>
      <c r="C169" s="314"/>
      <c r="D169" s="313">
        <f>'High Risk Non-Compliant'!D125</f>
        <v>0</v>
      </c>
      <c r="E169" s="313"/>
      <c r="F169" s="313"/>
      <c r="G169" s="149" t="e">
        <f>IF(VLOOKUP(A169,'High Risk Non-Compliant'!B:K,$H$48,FALSE)=0,"N/A",VLOOKUP(A169,'High Risk Non-Compliant'!B:K,$H$48,FALSE))</f>
        <v>#REF!</v>
      </c>
      <c r="H169" s="149" t="e">
        <f>IF(G169="N/A","N/A",VLOOKUP(G169,'Crosswalk Detail'!A:B,2,FALSE))</f>
        <v>#REF!</v>
      </c>
    </row>
    <row r="170" spans="1:8" ht="144" customHeight="1" x14ac:dyDescent="0.2">
      <c r="A170" s="150">
        <f>'High Risk Non-Compliant'!B126</f>
        <v>0</v>
      </c>
      <c r="B170" s="314">
        <f>'High Risk Non-Compliant'!C126</f>
        <v>0</v>
      </c>
      <c r="C170" s="314"/>
      <c r="D170" s="313">
        <f>'High Risk Non-Compliant'!D126</f>
        <v>0</v>
      </c>
      <c r="E170" s="313"/>
      <c r="F170" s="313"/>
      <c r="G170" s="149" t="e">
        <f>IF(VLOOKUP(A170,'High Risk Non-Compliant'!B:K,$H$48,FALSE)=0,"N/A",VLOOKUP(A170,'High Risk Non-Compliant'!B:K,$H$48,FALSE))</f>
        <v>#REF!</v>
      </c>
      <c r="H170" s="149" t="e">
        <f>IF(G170="N/A","N/A",VLOOKUP(G170,'Crosswalk Detail'!A:B,2,FALSE))</f>
        <v>#REF!</v>
      </c>
    </row>
    <row r="171" spans="1:8" ht="144" customHeight="1" x14ac:dyDescent="0.2">
      <c r="A171" s="150">
        <f>'High Risk Non-Compliant'!B127</f>
        <v>0</v>
      </c>
      <c r="B171" s="314">
        <f>'High Risk Non-Compliant'!C127</f>
        <v>0</v>
      </c>
      <c r="C171" s="314"/>
      <c r="D171" s="313">
        <f>'High Risk Non-Compliant'!D127</f>
        <v>0</v>
      </c>
      <c r="E171" s="313"/>
      <c r="F171" s="313"/>
      <c r="G171" s="149" t="e">
        <f>IF(VLOOKUP(A171,'High Risk Non-Compliant'!B:K,$H$48,FALSE)=0,"N/A",VLOOKUP(A171,'High Risk Non-Compliant'!B:K,$H$48,FALSE))</f>
        <v>#REF!</v>
      </c>
      <c r="H171" s="149" t="e">
        <f>IF(G171="N/A","N/A",VLOOKUP(G171,'Crosswalk Detail'!A:B,2,FALSE))</f>
        <v>#REF!</v>
      </c>
    </row>
    <row r="172" spans="1:8" ht="144" customHeight="1" x14ac:dyDescent="0.2">
      <c r="A172" s="150">
        <f>'High Risk Non-Compliant'!B128</f>
        <v>0</v>
      </c>
      <c r="B172" s="314">
        <f>'High Risk Non-Compliant'!C128</f>
        <v>0</v>
      </c>
      <c r="C172" s="314"/>
      <c r="D172" s="313">
        <f>'High Risk Non-Compliant'!D128</f>
        <v>0</v>
      </c>
      <c r="E172" s="313"/>
      <c r="F172" s="313"/>
      <c r="G172" s="149" t="e">
        <f>IF(VLOOKUP(A172,'High Risk Non-Compliant'!B:K,$H$48,FALSE)=0,"N/A",VLOOKUP(A172,'High Risk Non-Compliant'!B:K,$H$48,FALSE))</f>
        <v>#REF!</v>
      </c>
      <c r="H172" s="149" t="e">
        <f>IF(G172="N/A","N/A",VLOOKUP(G172,'Crosswalk Detail'!A:B,2,FALSE))</f>
        <v>#REF!</v>
      </c>
    </row>
    <row r="173" spans="1:8" ht="144" customHeight="1" x14ac:dyDescent="0.2">
      <c r="A173" s="150">
        <f>'High Risk Non-Compliant'!B129</f>
        <v>0</v>
      </c>
      <c r="B173" s="314">
        <f>'High Risk Non-Compliant'!C129</f>
        <v>0</v>
      </c>
      <c r="C173" s="314"/>
      <c r="D173" s="313">
        <f>'High Risk Non-Compliant'!D129</f>
        <v>0</v>
      </c>
      <c r="E173" s="313"/>
      <c r="F173" s="313"/>
      <c r="G173" s="149" t="e">
        <f>IF(VLOOKUP(A173,'High Risk Non-Compliant'!B:K,$H$48,FALSE)=0,"N/A",VLOOKUP(A173,'High Risk Non-Compliant'!B:K,$H$48,FALSE))</f>
        <v>#REF!</v>
      </c>
      <c r="H173" s="149" t="e">
        <f>IF(G173="N/A","N/A",VLOOKUP(G173,'Crosswalk Detail'!A:B,2,FALSE))</f>
        <v>#REF!</v>
      </c>
    </row>
    <row r="174" spans="1:8" ht="144" customHeight="1" x14ac:dyDescent="0.2">
      <c r="A174" s="150">
        <f>'High Risk Non-Compliant'!B130</f>
        <v>0</v>
      </c>
      <c r="B174" s="314">
        <f>'High Risk Non-Compliant'!C130</f>
        <v>0</v>
      </c>
      <c r="C174" s="314"/>
      <c r="D174" s="313">
        <f>'High Risk Non-Compliant'!D130</f>
        <v>0</v>
      </c>
      <c r="E174" s="313"/>
      <c r="F174" s="313"/>
      <c r="G174" s="149" t="e">
        <f>IF(VLOOKUP(A174,'High Risk Non-Compliant'!B:K,$H$48,FALSE)=0,"N/A",VLOOKUP(A174,'High Risk Non-Compliant'!B:K,$H$48,FALSE))</f>
        <v>#REF!</v>
      </c>
      <c r="H174" s="149" t="e">
        <f>IF(G174="N/A","N/A",VLOOKUP(G174,'Crosswalk Detail'!A:B,2,FALSE))</f>
        <v>#REF!</v>
      </c>
    </row>
    <row r="175" spans="1:8" ht="144" customHeight="1" x14ac:dyDescent="0.2">
      <c r="A175" s="150">
        <f>'High Risk Non-Compliant'!B131</f>
        <v>0</v>
      </c>
      <c r="B175" s="314">
        <f>'High Risk Non-Compliant'!C131</f>
        <v>0</v>
      </c>
      <c r="C175" s="314"/>
      <c r="D175" s="313">
        <f>'High Risk Non-Compliant'!D131</f>
        <v>0</v>
      </c>
      <c r="E175" s="313"/>
      <c r="F175" s="313"/>
      <c r="G175" s="149" t="e">
        <f>IF(VLOOKUP(A175,'High Risk Non-Compliant'!B:K,$H$48,FALSE)=0,"N/A",VLOOKUP(A175,'High Risk Non-Compliant'!B:K,$H$48,FALSE))</f>
        <v>#REF!</v>
      </c>
      <c r="H175" s="149" t="e">
        <f>IF(G175="N/A","N/A",VLOOKUP(G175,'Crosswalk Detail'!A:B,2,FALSE))</f>
        <v>#REF!</v>
      </c>
    </row>
    <row r="176" spans="1:8" ht="144" customHeight="1" x14ac:dyDescent="0.2">
      <c r="A176" s="150">
        <f>'High Risk Non-Compliant'!B132</f>
        <v>0</v>
      </c>
      <c r="B176" s="314">
        <f>'High Risk Non-Compliant'!C132</f>
        <v>0</v>
      </c>
      <c r="C176" s="314"/>
      <c r="D176" s="313">
        <f>'High Risk Non-Compliant'!D132</f>
        <v>0</v>
      </c>
      <c r="E176" s="313"/>
      <c r="F176" s="313"/>
      <c r="G176" s="149" t="e">
        <f>IF(VLOOKUP(A176,'High Risk Non-Compliant'!B:K,$H$48,FALSE)=0,"N/A",VLOOKUP(A176,'High Risk Non-Compliant'!B:K,$H$48,FALSE))</f>
        <v>#REF!</v>
      </c>
      <c r="H176" s="149" t="e">
        <f>IF(G176="N/A","N/A",VLOOKUP(G176,'Crosswalk Detail'!A:B,2,FALSE))</f>
        <v>#REF!</v>
      </c>
    </row>
    <row r="177" spans="1:8" ht="144" customHeight="1" x14ac:dyDescent="0.2">
      <c r="A177" s="150">
        <f>'High Risk Non-Compliant'!B133</f>
        <v>0</v>
      </c>
      <c r="B177" s="314">
        <f>'High Risk Non-Compliant'!C133</f>
        <v>0</v>
      </c>
      <c r="C177" s="314"/>
      <c r="D177" s="313">
        <f>'High Risk Non-Compliant'!D133</f>
        <v>0</v>
      </c>
      <c r="E177" s="313"/>
      <c r="F177" s="313"/>
      <c r="G177" s="149" t="e">
        <f>IF(VLOOKUP(A177,'High Risk Non-Compliant'!B:K,$H$48,FALSE)=0,"N/A",VLOOKUP(A177,'High Risk Non-Compliant'!B:K,$H$48,FALSE))</f>
        <v>#REF!</v>
      </c>
      <c r="H177" s="149" t="e">
        <f>IF(G177="N/A","N/A",VLOOKUP(G177,'Crosswalk Detail'!A:B,2,FALSE))</f>
        <v>#REF!</v>
      </c>
    </row>
    <row r="178" spans="1:8" ht="144" customHeight="1" x14ac:dyDescent="0.2">
      <c r="A178" s="150">
        <f>'High Risk Non-Compliant'!B134</f>
        <v>0</v>
      </c>
      <c r="B178" s="314">
        <f>'High Risk Non-Compliant'!C134</f>
        <v>0</v>
      </c>
      <c r="C178" s="314"/>
      <c r="D178" s="313">
        <f>'High Risk Non-Compliant'!D134</f>
        <v>0</v>
      </c>
      <c r="E178" s="313"/>
      <c r="F178" s="313"/>
      <c r="G178" s="149" t="e">
        <f>IF(VLOOKUP(A178,'High Risk Non-Compliant'!B:K,$H$48,FALSE)=0,"N/A",VLOOKUP(A178,'High Risk Non-Compliant'!B:K,$H$48,FALSE))</f>
        <v>#REF!</v>
      </c>
      <c r="H178" s="149" t="e">
        <f>IF(G178="N/A","N/A",VLOOKUP(G178,'Crosswalk Detail'!A:B,2,FALSE))</f>
        <v>#REF!</v>
      </c>
    </row>
    <row r="179" spans="1:8" ht="144" customHeight="1" x14ac:dyDescent="0.2">
      <c r="A179" s="150">
        <f>'High Risk Non-Compliant'!B135</f>
        <v>0</v>
      </c>
      <c r="B179" s="314">
        <f>'High Risk Non-Compliant'!C135</f>
        <v>0</v>
      </c>
      <c r="C179" s="314"/>
      <c r="D179" s="313">
        <f>'High Risk Non-Compliant'!D135</f>
        <v>0</v>
      </c>
      <c r="E179" s="313"/>
      <c r="F179" s="313"/>
      <c r="G179" s="149" t="e">
        <f>IF(VLOOKUP(A179,'High Risk Non-Compliant'!B:K,$H$48,FALSE)=0,"N/A",VLOOKUP(A179,'High Risk Non-Compliant'!B:K,$H$48,FALSE))</f>
        <v>#REF!</v>
      </c>
      <c r="H179" s="149" t="e">
        <f>IF(G179="N/A","N/A",VLOOKUP(G179,'Crosswalk Detail'!A:B,2,FALSE))</f>
        <v>#REF!</v>
      </c>
    </row>
    <row r="180" spans="1:8" ht="144" customHeight="1" x14ac:dyDescent="0.2">
      <c r="A180" s="150">
        <f>'High Risk Non-Compliant'!B136</f>
        <v>0</v>
      </c>
      <c r="B180" s="314">
        <f>'High Risk Non-Compliant'!C136</f>
        <v>0</v>
      </c>
      <c r="C180" s="314"/>
      <c r="D180" s="313">
        <f>'High Risk Non-Compliant'!D136</f>
        <v>0</v>
      </c>
      <c r="E180" s="313"/>
      <c r="F180" s="313"/>
      <c r="G180" s="149" t="e">
        <f>IF(VLOOKUP(A180,'High Risk Non-Compliant'!B:K,$H$48,FALSE)=0,"N/A",VLOOKUP(A180,'High Risk Non-Compliant'!B:K,$H$48,FALSE))</f>
        <v>#REF!</v>
      </c>
      <c r="H180" s="149" t="e">
        <f>IF(G180="N/A","N/A",VLOOKUP(G180,'Crosswalk Detail'!A:B,2,FALSE))</f>
        <v>#REF!</v>
      </c>
    </row>
    <row r="181" spans="1:8" ht="144" customHeight="1" x14ac:dyDescent="0.2">
      <c r="A181" s="150">
        <f>'High Risk Non-Compliant'!B137</f>
        <v>0</v>
      </c>
      <c r="B181" s="314">
        <f>'High Risk Non-Compliant'!C137</f>
        <v>0</v>
      </c>
      <c r="C181" s="314"/>
      <c r="D181" s="313">
        <f>'High Risk Non-Compliant'!D137</f>
        <v>0</v>
      </c>
      <c r="E181" s="313"/>
      <c r="F181" s="313"/>
      <c r="G181" s="149" t="e">
        <f>IF(VLOOKUP(A181,'High Risk Non-Compliant'!B:K,$H$48,FALSE)=0,"N/A",VLOOKUP(A181,'High Risk Non-Compliant'!B:K,$H$48,FALSE))</f>
        <v>#REF!</v>
      </c>
      <c r="H181" s="149" t="e">
        <f>IF(G181="N/A","N/A",VLOOKUP(G181,'Crosswalk Detail'!A:B,2,FALSE))</f>
        <v>#REF!</v>
      </c>
    </row>
    <row r="182" spans="1:8" ht="144" customHeight="1" x14ac:dyDescent="0.2">
      <c r="A182" s="150">
        <f>'High Risk Non-Compliant'!B138</f>
        <v>0</v>
      </c>
      <c r="B182" s="314">
        <f>'High Risk Non-Compliant'!C138</f>
        <v>0</v>
      </c>
      <c r="C182" s="314"/>
      <c r="D182" s="313">
        <f>'High Risk Non-Compliant'!D138</f>
        <v>0</v>
      </c>
      <c r="E182" s="313"/>
      <c r="F182" s="313"/>
      <c r="G182" s="149" t="e">
        <f>IF(VLOOKUP(A182,'High Risk Non-Compliant'!B:K,$H$48,FALSE)=0,"N/A",VLOOKUP(A182,'High Risk Non-Compliant'!B:K,$H$48,FALSE))</f>
        <v>#REF!</v>
      </c>
      <c r="H182" s="149" t="e">
        <f>IF(G182="N/A","N/A",VLOOKUP(G182,'Crosswalk Detail'!A:B,2,FALSE))</f>
        <v>#REF!</v>
      </c>
    </row>
    <row r="183" spans="1:8" ht="144" customHeight="1" x14ac:dyDescent="0.2">
      <c r="A183" s="150">
        <f>'High Risk Non-Compliant'!B139</f>
        <v>0</v>
      </c>
      <c r="B183" s="314">
        <f>'High Risk Non-Compliant'!C139</f>
        <v>0</v>
      </c>
      <c r="C183" s="314"/>
      <c r="D183" s="313">
        <f>'High Risk Non-Compliant'!D139</f>
        <v>0</v>
      </c>
      <c r="E183" s="313"/>
      <c r="F183" s="313"/>
      <c r="G183" s="149" t="e">
        <f>IF(VLOOKUP(A183,'High Risk Non-Compliant'!B:K,$H$48,FALSE)=0,"N/A",VLOOKUP(A183,'High Risk Non-Compliant'!B:K,$H$48,FALSE))</f>
        <v>#REF!</v>
      </c>
      <c r="H183" s="149" t="e">
        <f>IF(G183="N/A","N/A",VLOOKUP(G183,'Crosswalk Detail'!A:B,2,FALSE))</f>
        <v>#REF!</v>
      </c>
    </row>
    <row r="184" spans="1:8" ht="144" customHeight="1" x14ac:dyDescent="0.2">
      <c r="A184" s="150">
        <f>'High Risk Non-Compliant'!B140</f>
        <v>0</v>
      </c>
      <c r="B184" s="314">
        <f>'High Risk Non-Compliant'!C140</f>
        <v>0</v>
      </c>
      <c r="C184" s="314"/>
      <c r="D184" s="313">
        <f>'High Risk Non-Compliant'!D140</f>
        <v>0</v>
      </c>
      <c r="E184" s="313"/>
      <c r="F184" s="313"/>
      <c r="G184" s="149" t="e">
        <f>IF(VLOOKUP(A184,'High Risk Non-Compliant'!B:K,$H$48,FALSE)=0,"N/A",VLOOKUP(A184,'High Risk Non-Compliant'!B:K,$H$48,FALSE))</f>
        <v>#REF!</v>
      </c>
      <c r="H184" s="149" t="e">
        <f>IF(G184="N/A","N/A",VLOOKUP(G184,'Crosswalk Detail'!A:B,2,FALSE))</f>
        <v>#REF!</v>
      </c>
    </row>
    <row r="185" spans="1:8" ht="144" customHeight="1" x14ac:dyDescent="0.2">
      <c r="A185" s="150">
        <f>'High Risk Non-Compliant'!B141</f>
        <v>0</v>
      </c>
      <c r="B185" s="314">
        <f>'High Risk Non-Compliant'!C141</f>
        <v>0</v>
      </c>
      <c r="C185" s="314"/>
      <c r="D185" s="313">
        <f>'High Risk Non-Compliant'!D141</f>
        <v>0</v>
      </c>
      <c r="E185" s="313"/>
      <c r="F185" s="313"/>
      <c r="G185" s="149" t="e">
        <f>IF(VLOOKUP(A185,'High Risk Non-Compliant'!B:K,$H$48,FALSE)=0,"N/A",VLOOKUP(A185,'High Risk Non-Compliant'!B:K,$H$48,FALSE))</f>
        <v>#REF!</v>
      </c>
      <c r="H185" s="149" t="e">
        <f>IF(G185="N/A","N/A",VLOOKUP(G185,'Crosswalk Detail'!A:B,2,FALSE))</f>
        <v>#REF!</v>
      </c>
    </row>
    <row r="186" spans="1:8" ht="144" customHeight="1" x14ac:dyDescent="0.2">
      <c r="A186" s="150">
        <f>'High Risk Non-Compliant'!B142</f>
        <v>0</v>
      </c>
      <c r="B186" s="314">
        <f>'High Risk Non-Compliant'!C142</f>
        <v>0</v>
      </c>
      <c r="C186" s="314"/>
      <c r="D186" s="313">
        <f>'High Risk Non-Compliant'!D142</f>
        <v>0</v>
      </c>
      <c r="E186" s="313"/>
      <c r="F186" s="313"/>
      <c r="G186" s="149" t="e">
        <f>IF(VLOOKUP(A186,'High Risk Non-Compliant'!B:K,$H$48,FALSE)=0,"N/A",VLOOKUP(A186,'High Risk Non-Compliant'!B:K,$H$48,FALSE))</f>
        <v>#REF!</v>
      </c>
      <c r="H186" s="149" t="e">
        <f>IF(G186="N/A","N/A",VLOOKUP(G186,'Crosswalk Detail'!A:B,2,FALSE))</f>
        <v>#REF!</v>
      </c>
    </row>
    <row r="187" spans="1:8" ht="144" customHeight="1" x14ac:dyDescent="0.2">
      <c r="A187" s="150">
        <f>'High Risk Non-Compliant'!B143</f>
        <v>0</v>
      </c>
      <c r="B187" s="314">
        <f>'High Risk Non-Compliant'!C143</f>
        <v>0</v>
      </c>
      <c r="C187" s="314"/>
      <c r="D187" s="313">
        <f>'High Risk Non-Compliant'!D143</f>
        <v>0</v>
      </c>
      <c r="E187" s="313"/>
      <c r="F187" s="313"/>
      <c r="G187" s="149" t="e">
        <f>IF(VLOOKUP(A187,'High Risk Non-Compliant'!B:K,$H$48,FALSE)=0,"N/A",VLOOKUP(A187,'High Risk Non-Compliant'!B:K,$H$48,FALSE))</f>
        <v>#REF!</v>
      </c>
      <c r="H187" s="149" t="e">
        <f>IF(G187="N/A","N/A",VLOOKUP(G187,'Crosswalk Detail'!A:B,2,FALSE))</f>
        <v>#REF!</v>
      </c>
    </row>
    <row r="188" spans="1:8" ht="144" customHeight="1" x14ac:dyDescent="0.2">
      <c r="A188" s="150">
        <f>'High Risk Non-Compliant'!B144</f>
        <v>0</v>
      </c>
      <c r="B188" s="314">
        <f>'High Risk Non-Compliant'!C144</f>
        <v>0</v>
      </c>
      <c r="C188" s="314"/>
      <c r="D188" s="313">
        <f>'High Risk Non-Compliant'!D144</f>
        <v>0</v>
      </c>
      <c r="E188" s="313"/>
      <c r="F188" s="313"/>
      <c r="G188" s="149" t="e">
        <f>IF(VLOOKUP(A188,'High Risk Non-Compliant'!B:K,$H$48,FALSE)=0,"N/A",VLOOKUP(A188,'High Risk Non-Compliant'!B:K,$H$48,FALSE))</f>
        <v>#REF!</v>
      </c>
      <c r="H188" s="149" t="e">
        <f>IF(G188="N/A","N/A",VLOOKUP(G188,'Crosswalk Detail'!A:B,2,FALSE))</f>
        <v>#REF!</v>
      </c>
    </row>
    <row r="189" spans="1:8" ht="144" customHeight="1" x14ac:dyDescent="0.2">
      <c r="A189" s="150">
        <f>'High Risk Non-Compliant'!B145</f>
        <v>0</v>
      </c>
      <c r="B189" s="314">
        <f>'High Risk Non-Compliant'!C145</f>
        <v>0</v>
      </c>
      <c r="C189" s="314"/>
      <c r="D189" s="313">
        <f>'High Risk Non-Compliant'!D145</f>
        <v>0</v>
      </c>
      <c r="E189" s="313"/>
      <c r="F189" s="313"/>
      <c r="G189" s="149" t="e">
        <f>IF(VLOOKUP(A189,'High Risk Non-Compliant'!B:K,$H$48,FALSE)=0,"N/A",VLOOKUP(A189,'High Risk Non-Compliant'!B:K,$H$48,FALSE))</f>
        <v>#REF!</v>
      </c>
      <c r="H189" s="149" t="e">
        <f>IF(G189="N/A","N/A",VLOOKUP(G189,'Crosswalk Detail'!A:B,2,FALSE))</f>
        <v>#REF!</v>
      </c>
    </row>
    <row r="190" spans="1:8" ht="144" customHeight="1" x14ac:dyDescent="0.2">
      <c r="A190" s="150">
        <f>'High Risk Non-Compliant'!B146</f>
        <v>0</v>
      </c>
      <c r="B190" s="314">
        <f>'High Risk Non-Compliant'!C146</f>
        <v>0</v>
      </c>
      <c r="C190" s="314"/>
      <c r="D190" s="313">
        <f>'High Risk Non-Compliant'!D146</f>
        <v>0</v>
      </c>
      <c r="E190" s="313"/>
      <c r="F190" s="313"/>
      <c r="G190" s="149" t="e">
        <f>IF(VLOOKUP(A190,'High Risk Non-Compliant'!B:K,$H$48,FALSE)=0,"N/A",VLOOKUP(A190,'High Risk Non-Compliant'!B:K,$H$48,FALSE))</f>
        <v>#REF!</v>
      </c>
      <c r="H190" s="149" t="e">
        <f>IF(G190="N/A","N/A",VLOOKUP(G190,'Crosswalk Detail'!A:B,2,FALSE))</f>
        <v>#REF!</v>
      </c>
    </row>
    <row r="191" spans="1:8" ht="144" customHeight="1" x14ac:dyDescent="0.2">
      <c r="A191" s="150">
        <f>'High Risk Non-Compliant'!B147</f>
        <v>0</v>
      </c>
      <c r="B191" s="314">
        <f>'High Risk Non-Compliant'!C147</f>
        <v>0</v>
      </c>
      <c r="C191" s="314"/>
      <c r="D191" s="313">
        <f>'High Risk Non-Compliant'!D147</f>
        <v>0</v>
      </c>
      <c r="E191" s="313"/>
      <c r="F191" s="313"/>
      <c r="G191" s="149" t="e">
        <f>IF(VLOOKUP(A191,'High Risk Non-Compliant'!B:K,$H$48,FALSE)=0,"N/A",VLOOKUP(A191,'High Risk Non-Compliant'!B:K,$H$48,FALSE))</f>
        <v>#REF!</v>
      </c>
      <c r="H191" s="149" t="e">
        <f>IF(G191="N/A","N/A",VLOOKUP(G191,'Crosswalk Detail'!A:B,2,FALSE))</f>
        <v>#REF!</v>
      </c>
    </row>
    <row r="192" spans="1:8" ht="144" customHeight="1" x14ac:dyDescent="0.2">
      <c r="A192" s="150">
        <f>'High Risk Non-Compliant'!B148</f>
        <v>0</v>
      </c>
      <c r="B192" s="314">
        <f>'High Risk Non-Compliant'!C148</f>
        <v>0</v>
      </c>
      <c r="C192" s="314"/>
      <c r="D192" s="313">
        <f>'High Risk Non-Compliant'!D148</f>
        <v>0</v>
      </c>
      <c r="E192" s="313"/>
      <c r="F192" s="313"/>
      <c r="G192" s="149" t="e">
        <f>IF(VLOOKUP(A192,'High Risk Non-Compliant'!B:K,$H$48,FALSE)=0,"N/A",VLOOKUP(A192,'High Risk Non-Compliant'!B:K,$H$48,FALSE))</f>
        <v>#REF!</v>
      </c>
      <c r="H192" s="149" t="e">
        <f>IF(G192="N/A","N/A",VLOOKUP(G192,'Crosswalk Detail'!A:B,2,FALSE))</f>
        <v>#REF!</v>
      </c>
    </row>
    <row r="193" spans="1:8" ht="144" customHeight="1" x14ac:dyDescent="0.2">
      <c r="A193" s="150">
        <f>'High Risk Non-Compliant'!B149</f>
        <v>0</v>
      </c>
      <c r="B193" s="314">
        <f>'High Risk Non-Compliant'!C149</f>
        <v>0</v>
      </c>
      <c r="C193" s="314"/>
      <c r="D193" s="313">
        <f>'High Risk Non-Compliant'!D149</f>
        <v>0</v>
      </c>
      <c r="E193" s="313"/>
      <c r="F193" s="313"/>
      <c r="G193" s="149" t="e">
        <f>IF(VLOOKUP(A193,'High Risk Non-Compliant'!B:K,$H$48,FALSE)=0,"N/A",VLOOKUP(A193,'High Risk Non-Compliant'!B:K,$H$48,FALSE))</f>
        <v>#REF!</v>
      </c>
      <c r="H193" s="149" t="e">
        <f>IF(G193="N/A","N/A",VLOOKUP(G193,'Crosswalk Detail'!A:B,2,FALSE))</f>
        <v>#REF!</v>
      </c>
    </row>
    <row r="194" spans="1:8" ht="144" customHeight="1" x14ac:dyDescent="0.2">
      <c r="A194" s="150">
        <f>'High Risk Non-Compliant'!B150</f>
        <v>0</v>
      </c>
      <c r="B194" s="314">
        <f>'High Risk Non-Compliant'!C150</f>
        <v>0</v>
      </c>
      <c r="C194" s="314"/>
      <c r="D194" s="313">
        <f>'High Risk Non-Compliant'!D150</f>
        <v>0</v>
      </c>
      <c r="E194" s="313"/>
      <c r="F194" s="313"/>
      <c r="G194" s="149" t="e">
        <f>IF(VLOOKUP(A194,'High Risk Non-Compliant'!B:K,$H$48,FALSE)=0,"N/A",VLOOKUP(A194,'High Risk Non-Compliant'!B:K,$H$48,FALSE))</f>
        <v>#REF!</v>
      </c>
      <c r="H194" s="149" t="e">
        <f>IF(G194="N/A","N/A",VLOOKUP(G194,'Crosswalk Detail'!A:B,2,FALSE))</f>
        <v>#REF!</v>
      </c>
    </row>
    <row r="195" spans="1:8" ht="144" customHeight="1" x14ac:dyDescent="0.2">
      <c r="A195" s="150">
        <f>'High Risk Non-Compliant'!B151</f>
        <v>0</v>
      </c>
      <c r="B195" s="314">
        <f>'High Risk Non-Compliant'!C151</f>
        <v>0</v>
      </c>
      <c r="C195" s="314"/>
      <c r="D195" s="313">
        <f>'High Risk Non-Compliant'!D151</f>
        <v>0</v>
      </c>
      <c r="E195" s="313"/>
      <c r="F195" s="313"/>
      <c r="G195" s="149" t="e">
        <f>IF(VLOOKUP(A195,'High Risk Non-Compliant'!B:K,$H$48,FALSE)=0,"N/A",VLOOKUP(A195,'High Risk Non-Compliant'!B:K,$H$48,FALSE))</f>
        <v>#REF!</v>
      </c>
      <c r="H195" s="149" t="e">
        <f>IF(G195="N/A","N/A",VLOOKUP(G195,'Crosswalk Detail'!A:B,2,FALSE))</f>
        <v>#REF!</v>
      </c>
    </row>
    <row r="196" spans="1:8" ht="144" customHeight="1" x14ac:dyDescent="0.2">
      <c r="A196" s="150">
        <f>'High Risk Non-Compliant'!B152</f>
        <v>0</v>
      </c>
      <c r="B196" s="314">
        <f>'High Risk Non-Compliant'!C152</f>
        <v>0</v>
      </c>
      <c r="C196" s="314"/>
      <c r="D196" s="313">
        <f>'High Risk Non-Compliant'!D152</f>
        <v>0</v>
      </c>
      <c r="E196" s="313"/>
      <c r="F196" s="313"/>
      <c r="G196" s="149" t="e">
        <f>IF(VLOOKUP(A196,'High Risk Non-Compliant'!B:K,$H$48,FALSE)=0,"N/A",VLOOKUP(A196,'High Risk Non-Compliant'!B:K,$H$48,FALSE))</f>
        <v>#REF!</v>
      </c>
      <c r="H196" s="149" t="e">
        <f>IF(G196="N/A","N/A",VLOOKUP(G196,'Crosswalk Detail'!A:B,2,FALSE))</f>
        <v>#REF!</v>
      </c>
    </row>
    <row r="197" spans="1:8" ht="144" customHeight="1" x14ac:dyDescent="0.2">
      <c r="A197" s="150">
        <f>'High Risk Non-Compliant'!B153</f>
        <v>0</v>
      </c>
      <c r="B197" s="314">
        <f>'High Risk Non-Compliant'!C153</f>
        <v>0</v>
      </c>
      <c r="C197" s="314"/>
      <c r="D197" s="313">
        <f>'High Risk Non-Compliant'!D153</f>
        <v>0</v>
      </c>
      <c r="E197" s="313"/>
      <c r="F197" s="313"/>
      <c r="G197" s="149" t="e">
        <f>IF(VLOOKUP(A197,'High Risk Non-Compliant'!B:K,$H$48,FALSE)=0,"N/A",VLOOKUP(A197,'High Risk Non-Compliant'!B:K,$H$48,FALSE))</f>
        <v>#REF!</v>
      </c>
      <c r="H197" s="149" t="e">
        <f>IF(G197="N/A","N/A",VLOOKUP(G197,'Crosswalk Detail'!A:B,2,FALSE))</f>
        <v>#REF!</v>
      </c>
    </row>
    <row r="198" spans="1:8" ht="144" customHeight="1" x14ac:dyDescent="0.2">
      <c r="A198" s="150">
        <f>'High Risk Non-Compliant'!B154</f>
        <v>0</v>
      </c>
      <c r="B198" s="314">
        <f>'High Risk Non-Compliant'!C154</f>
        <v>0</v>
      </c>
      <c r="C198" s="314"/>
      <c r="D198" s="313">
        <f>'High Risk Non-Compliant'!D154</f>
        <v>0</v>
      </c>
      <c r="E198" s="313"/>
      <c r="F198" s="313"/>
      <c r="G198" s="149" t="e">
        <f>IF(VLOOKUP(A198,'High Risk Non-Compliant'!B:K,$H$48,FALSE)=0,"N/A",VLOOKUP(A198,'High Risk Non-Compliant'!B:K,$H$48,FALSE))</f>
        <v>#REF!</v>
      </c>
      <c r="H198" s="149" t="e">
        <f>IF(G198="N/A","N/A",VLOOKUP(G198,'Crosswalk Detail'!A:B,2,FALSE))</f>
        <v>#REF!</v>
      </c>
    </row>
    <row r="199" spans="1:8" ht="144" customHeight="1" x14ac:dyDescent="0.2">
      <c r="A199" s="150">
        <f>'High Risk Non-Compliant'!B155</f>
        <v>0</v>
      </c>
      <c r="B199" s="314">
        <f>'High Risk Non-Compliant'!C155</f>
        <v>0</v>
      </c>
      <c r="C199" s="314"/>
      <c r="D199" s="313">
        <f>'High Risk Non-Compliant'!D155</f>
        <v>0</v>
      </c>
      <c r="E199" s="313"/>
      <c r="F199" s="313"/>
      <c r="G199" s="149" t="e">
        <f>IF(VLOOKUP(A199,'High Risk Non-Compliant'!B:K,$H$48,FALSE)=0,"N/A",VLOOKUP(A199,'High Risk Non-Compliant'!B:K,$H$48,FALSE))</f>
        <v>#REF!</v>
      </c>
      <c r="H199" s="149" t="e">
        <f>IF(G199="N/A","N/A",VLOOKUP(G199,'Crosswalk Detail'!A:B,2,FALSE))</f>
        <v>#REF!</v>
      </c>
    </row>
    <row r="200" spans="1:8" ht="144" customHeight="1" x14ac:dyDescent="0.2">
      <c r="A200" s="150">
        <f>'High Risk Non-Compliant'!B156</f>
        <v>0</v>
      </c>
      <c r="B200" s="314">
        <f>'High Risk Non-Compliant'!C156</f>
        <v>0</v>
      </c>
      <c r="C200" s="314"/>
      <c r="D200" s="313">
        <f>'High Risk Non-Compliant'!D156</f>
        <v>0</v>
      </c>
      <c r="E200" s="313"/>
      <c r="F200" s="313"/>
      <c r="G200" s="149" t="e">
        <f>IF(VLOOKUP(A200,'High Risk Non-Compliant'!B:K,$H$48,FALSE)=0,"N/A",VLOOKUP(A200,'High Risk Non-Compliant'!B:K,$H$48,FALSE))</f>
        <v>#REF!</v>
      </c>
      <c r="H200" s="149" t="e">
        <f>IF(G200="N/A","N/A",VLOOKUP(G200,'Crosswalk Detail'!A:B,2,FALSE))</f>
        <v>#REF!</v>
      </c>
    </row>
    <row r="201" spans="1:8" ht="144" customHeight="1" x14ac:dyDescent="0.2">
      <c r="A201" s="150">
        <f>'High Risk Non-Compliant'!B157</f>
        <v>0</v>
      </c>
      <c r="B201" s="314">
        <f>'High Risk Non-Compliant'!C157</f>
        <v>0</v>
      </c>
      <c r="C201" s="314"/>
      <c r="D201" s="313">
        <f>'High Risk Non-Compliant'!D157</f>
        <v>0</v>
      </c>
      <c r="E201" s="313"/>
      <c r="F201" s="313"/>
      <c r="G201" s="149" t="e">
        <f>IF(VLOOKUP(A201,'High Risk Non-Compliant'!B:K,$H$48,FALSE)=0,"N/A",VLOOKUP(A201,'High Risk Non-Compliant'!B:K,$H$48,FALSE))</f>
        <v>#REF!</v>
      </c>
      <c r="H201" s="149" t="e">
        <f>IF(G201="N/A","N/A",VLOOKUP(G201,'Crosswalk Detail'!A:B,2,FALSE))</f>
        <v>#REF!</v>
      </c>
    </row>
    <row r="202" spans="1:8" ht="144" customHeight="1" x14ac:dyDescent="0.2">
      <c r="A202" s="150">
        <f>'High Risk Non-Compliant'!B158</f>
        <v>0</v>
      </c>
      <c r="B202" s="314">
        <f>'High Risk Non-Compliant'!C158</f>
        <v>0</v>
      </c>
      <c r="C202" s="314"/>
      <c r="D202" s="313">
        <f>'High Risk Non-Compliant'!D158</f>
        <v>0</v>
      </c>
      <c r="E202" s="313"/>
      <c r="F202" s="313"/>
      <c r="G202" s="149" t="e">
        <f>IF(VLOOKUP(A202,'High Risk Non-Compliant'!B:K,$H$48,FALSE)=0,"N/A",VLOOKUP(A202,'High Risk Non-Compliant'!B:K,$H$48,FALSE))</f>
        <v>#REF!</v>
      </c>
      <c r="H202" s="149" t="e">
        <f>IF(G202="N/A","N/A",VLOOKUP(G202,'Crosswalk Detail'!A:B,2,FALSE))</f>
        <v>#REF!</v>
      </c>
    </row>
    <row r="203" spans="1:8" ht="144" customHeight="1" x14ac:dyDescent="0.2">
      <c r="A203" s="150">
        <f>'High Risk Non-Compliant'!B159</f>
        <v>0</v>
      </c>
      <c r="B203" s="314">
        <f>'High Risk Non-Compliant'!C159</f>
        <v>0</v>
      </c>
      <c r="C203" s="314"/>
      <c r="D203" s="313">
        <f>'High Risk Non-Compliant'!D159</f>
        <v>0</v>
      </c>
      <c r="E203" s="313"/>
      <c r="F203" s="313"/>
      <c r="G203" s="149" t="e">
        <f>IF(VLOOKUP(A203,'High Risk Non-Compliant'!B:K,$H$48,FALSE)=0,"N/A",VLOOKUP(A203,'High Risk Non-Compliant'!B:K,$H$48,FALSE))</f>
        <v>#REF!</v>
      </c>
      <c r="H203" s="149" t="e">
        <f>IF(G203="N/A","N/A",VLOOKUP(G203,'Crosswalk Detail'!A:B,2,FALSE))</f>
        <v>#REF!</v>
      </c>
    </row>
    <row r="204" spans="1:8" ht="144" customHeight="1" x14ac:dyDescent="0.2">
      <c r="A204" s="150">
        <f>'High Risk Non-Compliant'!B160</f>
        <v>0</v>
      </c>
      <c r="B204" s="314">
        <f>'High Risk Non-Compliant'!C160</f>
        <v>0</v>
      </c>
      <c r="C204" s="314"/>
      <c r="D204" s="313">
        <f>'High Risk Non-Compliant'!D160</f>
        <v>0</v>
      </c>
      <c r="E204" s="313"/>
      <c r="F204" s="313"/>
      <c r="G204" s="149" t="e">
        <f>IF(VLOOKUP(A204,'High Risk Non-Compliant'!B:K,$H$48,FALSE)=0,"N/A",VLOOKUP(A204,'High Risk Non-Compliant'!B:K,$H$48,FALSE))</f>
        <v>#REF!</v>
      </c>
      <c r="H204" s="149" t="e">
        <f>IF(G204="N/A","N/A",VLOOKUP(G204,'Crosswalk Detail'!A:B,2,FALSE))</f>
        <v>#REF!</v>
      </c>
    </row>
    <row r="205" spans="1:8" ht="144" customHeight="1" x14ac:dyDescent="0.2">
      <c r="A205" s="150">
        <f>'High Risk Non-Compliant'!B161</f>
        <v>0</v>
      </c>
      <c r="B205" s="314">
        <f>'High Risk Non-Compliant'!C161</f>
        <v>0</v>
      </c>
      <c r="C205" s="314"/>
      <c r="D205" s="313">
        <f>'High Risk Non-Compliant'!D161</f>
        <v>0</v>
      </c>
      <c r="E205" s="313"/>
      <c r="F205" s="313"/>
      <c r="G205" s="149" t="e">
        <f>IF(VLOOKUP(A205,'High Risk Non-Compliant'!B:K,$H$48,FALSE)=0,"N/A",VLOOKUP(A205,'High Risk Non-Compliant'!B:K,$H$48,FALSE))</f>
        <v>#REF!</v>
      </c>
      <c r="H205" s="149" t="e">
        <f>IF(G205="N/A","N/A",VLOOKUP(G205,'Crosswalk Detail'!A:B,2,FALSE))</f>
        <v>#REF!</v>
      </c>
    </row>
    <row r="206" spans="1:8" ht="144" customHeight="1" x14ac:dyDescent="0.2">
      <c r="A206" s="150">
        <f>'High Risk Non-Compliant'!B162</f>
        <v>0</v>
      </c>
      <c r="B206" s="314">
        <f>'High Risk Non-Compliant'!C162</f>
        <v>0</v>
      </c>
      <c r="C206" s="314"/>
      <c r="D206" s="313">
        <f>'High Risk Non-Compliant'!D162</f>
        <v>0</v>
      </c>
      <c r="E206" s="313"/>
      <c r="F206" s="313"/>
      <c r="G206" s="149" t="e">
        <f>IF(VLOOKUP(A206,'High Risk Non-Compliant'!B:K,$H$48,FALSE)=0,"N/A",VLOOKUP(A206,'High Risk Non-Compliant'!B:K,$H$48,FALSE))</f>
        <v>#REF!</v>
      </c>
      <c r="H206" s="149" t="e">
        <f>IF(G206="N/A","N/A",VLOOKUP(G206,'Crosswalk Detail'!A:B,2,FALSE))</f>
        <v>#REF!</v>
      </c>
    </row>
    <row r="207" spans="1:8" ht="144" customHeight="1" x14ac:dyDescent="0.2">
      <c r="A207" s="150">
        <f>'High Risk Non-Compliant'!B163</f>
        <v>0</v>
      </c>
      <c r="B207" s="314">
        <f>'High Risk Non-Compliant'!C163</f>
        <v>0</v>
      </c>
      <c r="C207" s="314"/>
      <c r="D207" s="313">
        <f>'High Risk Non-Compliant'!D163</f>
        <v>0</v>
      </c>
      <c r="E207" s="313"/>
      <c r="F207" s="313"/>
      <c r="G207" s="149" t="e">
        <f>IF(VLOOKUP(A207,'High Risk Non-Compliant'!B:K,$H$48,FALSE)=0,"N/A",VLOOKUP(A207,'High Risk Non-Compliant'!B:K,$H$48,FALSE))</f>
        <v>#REF!</v>
      </c>
      <c r="H207" s="149" t="e">
        <f>IF(G207="N/A","N/A",VLOOKUP(G207,'Crosswalk Detail'!A:B,2,FALSE))</f>
        <v>#REF!</v>
      </c>
    </row>
    <row r="208" spans="1:8" ht="144" customHeight="1" x14ac:dyDescent="0.2">
      <c r="A208" s="150">
        <f>'High Risk Non-Compliant'!B164</f>
        <v>0</v>
      </c>
      <c r="B208" s="314">
        <f>'High Risk Non-Compliant'!C164</f>
        <v>0</v>
      </c>
      <c r="C208" s="314"/>
      <c r="D208" s="313">
        <f>'High Risk Non-Compliant'!D164</f>
        <v>0</v>
      </c>
      <c r="E208" s="313"/>
      <c r="F208" s="313"/>
      <c r="G208" s="149" t="e">
        <f>IF(VLOOKUP(A208,'High Risk Non-Compliant'!B:K,$H$48,FALSE)=0,"N/A",VLOOKUP(A208,'High Risk Non-Compliant'!B:K,$H$48,FALSE))</f>
        <v>#REF!</v>
      </c>
      <c r="H208" s="149" t="e">
        <f>IF(G208="N/A","N/A",VLOOKUP(G208,'Crosswalk Detail'!A:B,2,FALSE))</f>
        <v>#REF!</v>
      </c>
    </row>
    <row r="209" spans="1:8" ht="144" customHeight="1" x14ac:dyDescent="0.2">
      <c r="A209" s="150">
        <f>'High Risk Non-Compliant'!B165</f>
        <v>0</v>
      </c>
      <c r="B209" s="314">
        <f>'High Risk Non-Compliant'!C165</f>
        <v>0</v>
      </c>
      <c r="C209" s="314"/>
      <c r="D209" s="313">
        <f>'High Risk Non-Compliant'!D165</f>
        <v>0</v>
      </c>
      <c r="E209" s="313"/>
      <c r="F209" s="313"/>
      <c r="G209" s="149" t="e">
        <f>IF(VLOOKUP(A209,'High Risk Non-Compliant'!B:K,$H$48,FALSE)=0,"N/A",VLOOKUP(A209,'High Risk Non-Compliant'!B:K,$H$48,FALSE))</f>
        <v>#REF!</v>
      </c>
      <c r="H209" s="149" t="e">
        <f>IF(G209="N/A","N/A",VLOOKUP(G209,'Crosswalk Detail'!A:B,2,FALSE))</f>
        <v>#REF!</v>
      </c>
    </row>
    <row r="210" spans="1:8" ht="144" customHeight="1" x14ac:dyDescent="0.2">
      <c r="A210" s="150">
        <f>'High Risk Non-Compliant'!B166</f>
        <v>0</v>
      </c>
      <c r="B210" s="314">
        <f>'High Risk Non-Compliant'!C166</f>
        <v>0</v>
      </c>
      <c r="C210" s="314"/>
      <c r="D210" s="313">
        <f>'High Risk Non-Compliant'!D166</f>
        <v>0</v>
      </c>
      <c r="E210" s="313"/>
      <c r="F210" s="313"/>
      <c r="G210" s="149" t="e">
        <f>IF(VLOOKUP(A210,'High Risk Non-Compliant'!B:K,$H$48,FALSE)=0,"N/A",VLOOKUP(A210,'High Risk Non-Compliant'!B:K,$H$48,FALSE))</f>
        <v>#REF!</v>
      </c>
      <c r="H210" s="149" t="e">
        <f>IF(G210="N/A","N/A",VLOOKUP(G210,'Crosswalk Detail'!A:B,2,FALSE))</f>
        <v>#REF!</v>
      </c>
    </row>
    <row r="211" spans="1:8" ht="144" customHeight="1" x14ac:dyDescent="0.2">
      <c r="A211" s="150">
        <f>'High Risk Non-Compliant'!B167</f>
        <v>0</v>
      </c>
      <c r="B211" s="314">
        <f>'High Risk Non-Compliant'!C167</f>
        <v>0</v>
      </c>
      <c r="C211" s="314"/>
      <c r="D211" s="313">
        <f>'High Risk Non-Compliant'!D167</f>
        <v>0</v>
      </c>
      <c r="E211" s="313"/>
      <c r="F211" s="313"/>
      <c r="G211" s="149" t="e">
        <f>IF(VLOOKUP(A211,'High Risk Non-Compliant'!B:K,$H$48,FALSE)=0,"N/A",VLOOKUP(A211,'High Risk Non-Compliant'!B:K,$H$48,FALSE))</f>
        <v>#REF!</v>
      </c>
      <c r="H211" s="149" t="e">
        <f>IF(G211="N/A","N/A",VLOOKUP(G211,'Crosswalk Detail'!A:B,2,FALSE))</f>
        <v>#REF!</v>
      </c>
    </row>
    <row r="212" spans="1:8" ht="144" customHeight="1" x14ac:dyDescent="0.2">
      <c r="A212" s="150">
        <f>'High Risk Non-Compliant'!B168</f>
        <v>0</v>
      </c>
      <c r="B212" s="314">
        <f>'High Risk Non-Compliant'!C168</f>
        <v>0</v>
      </c>
      <c r="C212" s="314"/>
      <c r="D212" s="313">
        <f>'High Risk Non-Compliant'!D168</f>
        <v>0</v>
      </c>
      <c r="E212" s="313"/>
      <c r="F212" s="313"/>
      <c r="G212" s="149" t="e">
        <f>IF(VLOOKUP(A212,'High Risk Non-Compliant'!B:K,$H$48,FALSE)=0,"N/A",VLOOKUP(A212,'High Risk Non-Compliant'!B:K,$H$48,FALSE))</f>
        <v>#REF!</v>
      </c>
      <c r="H212" s="149" t="e">
        <f>IF(G212="N/A","N/A",VLOOKUP(G212,'Crosswalk Detail'!A:B,2,FALSE))</f>
        <v>#REF!</v>
      </c>
    </row>
    <row r="213" spans="1:8" ht="144" customHeight="1" x14ac:dyDescent="0.2">
      <c r="A213" s="150">
        <f>'High Risk Non-Compliant'!B169</f>
        <v>0</v>
      </c>
      <c r="B213" s="314">
        <f>'High Risk Non-Compliant'!C169</f>
        <v>0</v>
      </c>
      <c r="C213" s="314"/>
      <c r="D213" s="313">
        <f>'High Risk Non-Compliant'!D169</f>
        <v>0</v>
      </c>
      <c r="E213" s="313"/>
      <c r="F213" s="313"/>
      <c r="G213" s="149" t="e">
        <f>IF(VLOOKUP(A213,'High Risk Non-Compliant'!B:K,$H$48,FALSE)=0,"N/A",VLOOKUP(A213,'High Risk Non-Compliant'!B:K,$H$48,FALSE))</f>
        <v>#REF!</v>
      </c>
      <c r="H213" s="149" t="e">
        <f>IF(G213="N/A","N/A",VLOOKUP(G213,'Crosswalk Detail'!A:B,2,FALSE))</f>
        <v>#REF!</v>
      </c>
    </row>
    <row r="214" spans="1:8" ht="144" customHeight="1" x14ac:dyDescent="0.2">
      <c r="A214" s="150">
        <f>'High Risk Non-Compliant'!B170</f>
        <v>0</v>
      </c>
      <c r="B214" s="314">
        <f>'High Risk Non-Compliant'!C170</f>
        <v>0</v>
      </c>
      <c r="C214" s="314"/>
      <c r="D214" s="313">
        <f>'High Risk Non-Compliant'!D170</f>
        <v>0</v>
      </c>
      <c r="E214" s="313"/>
      <c r="F214" s="313"/>
      <c r="G214" s="149" t="e">
        <f>IF(VLOOKUP(A214,'High Risk Non-Compliant'!B:K,$H$48,FALSE)=0,"N/A",VLOOKUP(A214,'High Risk Non-Compliant'!B:K,$H$48,FALSE))</f>
        <v>#REF!</v>
      </c>
      <c r="H214" s="149" t="e">
        <f>IF(G214="N/A","N/A",VLOOKUP(G214,'Crosswalk Detail'!A:B,2,FALSE))</f>
        <v>#REF!</v>
      </c>
    </row>
    <row r="215" spans="1:8" ht="144" customHeight="1" x14ac:dyDescent="0.2">
      <c r="A215" s="150">
        <f>'High Risk Non-Compliant'!B171</f>
        <v>0</v>
      </c>
      <c r="B215" s="314">
        <f>'High Risk Non-Compliant'!C171</f>
        <v>0</v>
      </c>
      <c r="C215" s="314"/>
      <c r="D215" s="313">
        <f>'High Risk Non-Compliant'!D171</f>
        <v>0</v>
      </c>
      <c r="E215" s="313"/>
      <c r="F215" s="313"/>
      <c r="G215" s="149" t="e">
        <f>IF(VLOOKUP(A215,'High Risk Non-Compliant'!B:K,$H$48,FALSE)=0,"N/A",VLOOKUP(A215,'High Risk Non-Compliant'!B:K,$H$48,FALSE))</f>
        <v>#REF!</v>
      </c>
      <c r="H215" s="149" t="e">
        <f>IF(G215="N/A","N/A",VLOOKUP(G215,'Crosswalk Detail'!A:B,2,FALSE))</f>
        <v>#REF!</v>
      </c>
    </row>
    <row r="216" spans="1:8" ht="144" customHeight="1" x14ac:dyDescent="0.2">
      <c r="A216" s="150">
        <f>'High Risk Non-Compliant'!B172</f>
        <v>0</v>
      </c>
      <c r="B216" s="314">
        <f>'High Risk Non-Compliant'!C172</f>
        <v>0</v>
      </c>
      <c r="C216" s="314"/>
      <c r="D216" s="313">
        <f>'High Risk Non-Compliant'!D172</f>
        <v>0</v>
      </c>
      <c r="E216" s="313"/>
      <c r="F216" s="313"/>
      <c r="G216" s="149" t="e">
        <f>IF(VLOOKUP(A216,'High Risk Non-Compliant'!B:K,$H$48,FALSE)=0,"N/A",VLOOKUP(A216,'High Risk Non-Compliant'!B:K,$H$48,FALSE))</f>
        <v>#REF!</v>
      </c>
      <c r="H216" s="149" t="e">
        <f>IF(G216="N/A","N/A",VLOOKUP(G216,'Crosswalk Detail'!A:B,2,FALSE))</f>
        <v>#REF!</v>
      </c>
    </row>
    <row r="217" spans="1:8" ht="144" customHeight="1" x14ac:dyDescent="0.2">
      <c r="A217" s="151">
        <f>'High Risk Non-Compliant'!B173</f>
        <v>0</v>
      </c>
      <c r="B217" s="313">
        <f>'High Risk Non-Compliant'!C173</f>
        <v>0</v>
      </c>
      <c r="C217" s="313"/>
      <c r="D217" s="313">
        <f>'High Risk Non-Compliant'!D173</f>
        <v>0</v>
      </c>
      <c r="E217" s="313"/>
      <c r="F217" s="313"/>
      <c r="G217" s="149" t="e">
        <f>IF(VLOOKUP(A217,'High Risk Non-Compliant'!B:K,$H$48,FALSE)=0,"N/A",VLOOKUP(A217,'High Risk Non-Compliant'!B:K,$H$48,FALSE))</f>
        <v>#REF!</v>
      </c>
      <c r="H217" s="149" t="e">
        <f>IF(G217="N/A","N/A",VLOOKUP(G217,'Crosswalk Detail'!A:B,2,FALSE))</f>
        <v>#REF!</v>
      </c>
    </row>
    <row r="218" spans="1:8" ht="144" customHeight="1" x14ac:dyDescent="0.2">
      <c r="A218" s="151">
        <f>'High Risk Non-Compliant'!B174</f>
        <v>0</v>
      </c>
      <c r="B218" s="313">
        <f>'High Risk Non-Compliant'!C174</f>
        <v>0</v>
      </c>
      <c r="C218" s="313"/>
      <c r="D218" s="313">
        <f>'High Risk Non-Compliant'!D174</f>
        <v>0</v>
      </c>
      <c r="E218" s="313"/>
      <c r="F218" s="313"/>
      <c r="G218" s="149" t="e">
        <f>IF(VLOOKUP(A218,'High Risk Non-Compliant'!B:K,$H$48,FALSE)=0,"N/A",VLOOKUP(A218,'High Risk Non-Compliant'!B:K,$H$48,FALSE))</f>
        <v>#REF!</v>
      </c>
      <c r="H218" s="149" t="e">
        <f>IF(G218="N/A","N/A",VLOOKUP(G218,'Crosswalk Detail'!A:B,2,FALSE))</f>
        <v>#REF!</v>
      </c>
    </row>
    <row r="219" spans="1:8" ht="144" customHeight="1" x14ac:dyDescent="0.2">
      <c r="A219" s="151">
        <f>'High Risk Non-Compliant'!B175</f>
        <v>0</v>
      </c>
      <c r="B219" s="313">
        <f>'High Risk Non-Compliant'!C175</f>
        <v>0</v>
      </c>
      <c r="C219" s="313"/>
      <c r="D219" s="313">
        <f>'High Risk Non-Compliant'!D175</f>
        <v>0</v>
      </c>
      <c r="E219" s="313"/>
      <c r="F219" s="313"/>
      <c r="G219" s="149" t="e">
        <f>IF(VLOOKUP(A219,'High Risk Non-Compliant'!B:K,$H$48,FALSE)=0,"N/A",VLOOKUP(A219,'High Risk Non-Compliant'!B:K,$H$48,FALSE))</f>
        <v>#REF!</v>
      </c>
      <c r="H219" s="149" t="e">
        <f>IF(G219="N/A","N/A",VLOOKUP(G219,'Crosswalk Detail'!A:B,2,FALSE))</f>
        <v>#REF!</v>
      </c>
    </row>
    <row r="220" spans="1:8" ht="144" customHeight="1" x14ac:dyDescent="0.2">
      <c r="A220" s="151">
        <f>'High Risk Non-Compliant'!B176</f>
        <v>0</v>
      </c>
      <c r="B220" s="313">
        <f>'High Risk Non-Compliant'!C176</f>
        <v>0</v>
      </c>
      <c r="C220" s="313"/>
      <c r="D220" s="313">
        <f>'High Risk Non-Compliant'!D176</f>
        <v>0</v>
      </c>
      <c r="E220" s="313"/>
      <c r="F220" s="313"/>
      <c r="G220" s="149" t="e">
        <f>VLOOKUP(A220,'High Risk Non-Compliant'!B:K,$H$48,FALSE)</f>
        <v>#REF!</v>
      </c>
      <c r="H220" s="149" t="e">
        <f>VLOOKUP(G220,'Crosswalk Detail'!A:B,2,FALSE)</f>
        <v>#REF!</v>
      </c>
    </row>
    <row r="221" spans="1:8" ht="144" customHeight="1" x14ac:dyDescent="0.2">
      <c r="A221" s="151">
        <f>'High Risk Non-Compliant'!B177</f>
        <v>0</v>
      </c>
      <c r="B221" s="313">
        <f>'High Risk Non-Compliant'!C177</f>
        <v>0</v>
      </c>
      <c r="C221" s="313"/>
      <c r="D221" s="313">
        <f>'High Risk Non-Compliant'!D177</f>
        <v>0</v>
      </c>
      <c r="E221" s="313"/>
      <c r="F221" s="313"/>
      <c r="G221" s="149" t="e">
        <f>VLOOKUP(A221,'High Risk Non-Compliant'!B:K,$H$48,FALSE)</f>
        <v>#REF!</v>
      </c>
      <c r="H221" s="149" t="e">
        <f>VLOOKUP(G221,'Crosswalk Detail'!A:B,2,FALSE)</f>
        <v>#REF!</v>
      </c>
    </row>
    <row r="222" spans="1:8" ht="144" customHeight="1" x14ac:dyDescent="0.2">
      <c r="A222" s="151">
        <f>'High Risk Non-Compliant'!B178</f>
        <v>0</v>
      </c>
      <c r="B222" s="313">
        <f>'High Risk Non-Compliant'!C178</f>
        <v>0</v>
      </c>
      <c r="C222" s="313"/>
      <c r="D222" s="313">
        <f>'High Risk Non-Compliant'!D178</f>
        <v>0</v>
      </c>
      <c r="E222" s="313"/>
      <c r="F222" s="313"/>
      <c r="G222" s="149" t="e">
        <f>VLOOKUP(A222,'High Risk Non-Compliant'!B:K,$H$48,FALSE)</f>
        <v>#REF!</v>
      </c>
      <c r="H222" s="149" t="e">
        <f>VLOOKUP(G222,'Crosswalk Detail'!A:B,2,FALSE)</f>
        <v>#REF!</v>
      </c>
    </row>
    <row r="223" spans="1:8" ht="144" customHeight="1" x14ac:dyDescent="0.2">
      <c r="A223" s="151">
        <f>'High Risk Non-Compliant'!B179</f>
        <v>0</v>
      </c>
      <c r="B223" s="313">
        <f>'High Risk Non-Compliant'!C179</f>
        <v>0</v>
      </c>
      <c r="C223" s="313"/>
      <c r="D223" s="313">
        <f>'High Risk Non-Compliant'!D179</f>
        <v>0</v>
      </c>
      <c r="E223" s="313"/>
      <c r="F223" s="313"/>
      <c r="G223" s="149" t="e">
        <f>VLOOKUP(A223,'High Risk Non-Compliant'!B:K,$H$48,FALSE)</f>
        <v>#REF!</v>
      </c>
      <c r="H223" s="149" t="e">
        <f>VLOOKUP(G223,'Crosswalk Detail'!A:B,2,FALSE)</f>
        <v>#REF!</v>
      </c>
    </row>
    <row r="224" spans="1:8" ht="144" customHeight="1" x14ac:dyDescent="0.2">
      <c r="A224" s="151">
        <f>'High Risk Non-Compliant'!B180</f>
        <v>0</v>
      </c>
      <c r="B224" s="313">
        <f>'High Risk Non-Compliant'!C180</f>
        <v>0</v>
      </c>
      <c r="C224" s="313"/>
      <c r="D224" s="313">
        <f>'High Risk Non-Compliant'!D180</f>
        <v>0</v>
      </c>
      <c r="E224" s="313"/>
      <c r="F224" s="313"/>
      <c r="G224" s="149" t="e">
        <f>VLOOKUP(A224,'High Risk Non-Compliant'!B:K,$H$48,FALSE)</f>
        <v>#REF!</v>
      </c>
      <c r="H224" s="149" t="e">
        <f>VLOOKUP(G224,'Crosswalk Detail'!A:B,2,FALSE)</f>
        <v>#REF!</v>
      </c>
    </row>
    <row r="225" spans="1:8" ht="144" customHeight="1" x14ac:dyDescent="0.2">
      <c r="A225" s="151">
        <f>'High Risk Non-Compliant'!B181</f>
        <v>0</v>
      </c>
      <c r="B225" s="313">
        <f>'High Risk Non-Compliant'!C181</f>
        <v>0</v>
      </c>
      <c r="C225" s="313"/>
      <c r="D225" s="313">
        <f>'High Risk Non-Compliant'!D181</f>
        <v>0</v>
      </c>
      <c r="E225" s="313"/>
      <c r="F225" s="313"/>
      <c r="G225" s="149" t="e">
        <f>VLOOKUP(A225,'High Risk Non-Compliant'!B:K,$H$48,FALSE)</f>
        <v>#REF!</v>
      </c>
      <c r="H225" s="149" t="e">
        <f>VLOOKUP(G225,'Crosswalk Detail'!A:B,2,FALSE)</f>
        <v>#REF!</v>
      </c>
    </row>
    <row r="226" spans="1:8" x14ac:dyDescent="0.2">
      <c r="A226" s="152">
        <f>'High Risk Non-Compliant'!B182</f>
        <v>0</v>
      </c>
      <c r="B226" s="310">
        <f>'High Risk Non-Compliant'!C182</f>
        <v>0</v>
      </c>
      <c r="C226" s="310"/>
      <c r="D226" s="310">
        <f>'High Risk Non-Compliant'!D182</f>
        <v>0</v>
      </c>
      <c r="E226" s="310"/>
      <c r="F226" s="310"/>
      <c r="G226" s="149"/>
      <c r="H226" s="149"/>
    </row>
    <row r="227" spans="1:8" ht="29.25" customHeight="1" x14ac:dyDescent="0.2">
      <c r="A227" s="152">
        <f>'High Risk Non-Compliant'!B183</f>
        <v>0</v>
      </c>
      <c r="B227" s="310">
        <f>'High Risk Non-Compliant'!C183</f>
        <v>0</v>
      </c>
      <c r="C227" s="310"/>
      <c r="D227" s="310">
        <f>'High Risk Non-Compliant'!D183</f>
        <v>0</v>
      </c>
      <c r="E227" s="310"/>
      <c r="F227" s="310"/>
      <c r="G227" s="149"/>
      <c r="H227" s="149"/>
    </row>
    <row r="228" spans="1:8" ht="29.25" customHeight="1" x14ac:dyDescent="0.2">
      <c r="A228" s="152">
        <f>'High Risk Non-Compliant'!B184</f>
        <v>0</v>
      </c>
      <c r="B228" s="310">
        <f>'High Risk Non-Compliant'!C184</f>
        <v>0</v>
      </c>
      <c r="C228" s="310"/>
      <c r="D228" s="310">
        <f>'High Risk Non-Compliant'!D184</f>
        <v>0</v>
      </c>
      <c r="E228" s="310"/>
      <c r="F228" s="310"/>
      <c r="G228" s="149"/>
      <c r="H228" s="149"/>
    </row>
    <row r="229" spans="1:8" x14ac:dyDescent="0.2">
      <c r="A229" s="152">
        <f>'High Risk Non-Compliant'!B185</f>
        <v>0</v>
      </c>
      <c r="B229" s="310">
        <f>'High Risk Non-Compliant'!C185</f>
        <v>0</v>
      </c>
      <c r="C229" s="310"/>
      <c r="D229" s="310">
        <f>'High Risk Non-Compliant'!D185</f>
        <v>0</v>
      </c>
      <c r="E229" s="310"/>
      <c r="F229" s="310"/>
      <c r="G229" s="149"/>
      <c r="H229" s="149"/>
    </row>
    <row r="230" spans="1:8" ht="29.25" customHeight="1" x14ac:dyDescent="0.2">
      <c r="A230" s="152">
        <f>'High Risk Non-Compliant'!B186</f>
        <v>0</v>
      </c>
      <c r="B230" s="310">
        <f>'High Risk Non-Compliant'!C186</f>
        <v>0</v>
      </c>
      <c r="C230" s="310"/>
      <c r="D230" s="310">
        <f>'High Risk Non-Compliant'!D186</f>
        <v>0</v>
      </c>
      <c r="E230" s="310"/>
      <c r="F230" s="310"/>
      <c r="G230" s="149"/>
      <c r="H230" s="149"/>
    </row>
    <row r="231" spans="1:8" ht="29.25" customHeight="1" x14ac:dyDescent="0.2">
      <c r="A231" s="152">
        <f>'High Risk Non-Compliant'!B187</f>
        <v>0</v>
      </c>
      <c r="B231" s="310">
        <f>'High Risk Non-Compliant'!C187</f>
        <v>0</v>
      </c>
      <c r="C231" s="310"/>
      <c r="D231" s="310">
        <f>'High Risk Non-Compliant'!D187</f>
        <v>0</v>
      </c>
      <c r="E231" s="310"/>
      <c r="F231" s="310"/>
      <c r="G231" s="149"/>
      <c r="H231" s="149"/>
    </row>
    <row r="232" spans="1:8" ht="44.1" customHeight="1" x14ac:dyDescent="0.2">
      <c r="A232" s="152">
        <f>'High Risk Non-Compliant'!B188</f>
        <v>0</v>
      </c>
      <c r="B232" s="310">
        <f>'High Risk Non-Compliant'!C188</f>
        <v>0</v>
      </c>
      <c r="C232" s="310"/>
      <c r="D232" s="310">
        <f>'High Risk Non-Compliant'!D188</f>
        <v>0</v>
      </c>
      <c r="E232" s="310"/>
      <c r="F232" s="310"/>
      <c r="G232" s="149"/>
      <c r="H232" s="149"/>
    </row>
    <row r="233" spans="1:8" x14ac:dyDescent="0.2">
      <c r="A233" s="152">
        <f>'High Risk Non-Compliant'!B189</f>
        <v>0</v>
      </c>
      <c r="B233" s="310">
        <f>'High Risk Non-Compliant'!C189</f>
        <v>0</v>
      </c>
      <c r="C233" s="310"/>
      <c r="D233" s="310">
        <f>'High Risk Non-Compliant'!D189</f>
        <v>0</v>
      </c>
      <c r="E233" s="310"/>
      <c r="F233" s="310"/>
      <c r="G233" s="149"/>
      <c r="H233" s="149"/>
    </row>
    <row r="234" spans="1:8" x14ac:dyDescent="0.2">
      <c r="A234" s="152">
        <f>'High Risk Non-Compliant'!B190</f>
        <v>0</v>
      </c>
      <c r="B234" s="310">
        <f>'High Risk Non-Compliant'!C190</f>
        <v>0</v>
      </c>
      <c r="C234" s="310"/>
      <c r="D234" s="310">
        <f>'High Risk Non-Compliant'!D190</f>
        <v>0</v>
      </c>
      <c r="E234" s="310"/>
      <c r="F234" s="310"/>
      <c r="G234" s="149"/>
      <c r="H234" s="149"/>
    </row>
    <row r="235" spans="1:8" x14ac:dyDescent="0.2">
      <c r="A235" s="152">
        <f>'High Risk Non-Compliant'!B191</f>
        <v>0</v>
      </c>
      <c r="B235" s="310">
        <f>'High Risk Non-Compliant'!C191</f>
        <v>0</v>
      </c>
      <c r="C235" s="310"/>
      <c r="D235" s="310">
        <f>'High Risk Non-Compliant'!D191</f>
        <v>0</v>
      </c>
      <c r="E235" s="310"/>
      <c r="F235" s="310"/>
      <c r="G235" s="149"/>
      <c r="H235" s="149"/>
    </row>
    <row r="236" spans="1:8" x14ac:dyDescent="0.2">
      <c r="A236" s="152">
        <f>'High Risk Non-Compliant'!B192</f>
        <v>0</v>
      </c>
      <c r="B236" s="310">
        <f>'High Risk Non-Compliant'!C192</f>
        <v>0</v>
      </c>
      <c r="C236" s="310"/>
      <c r="D236" s="310">
        <f>'High Risk Non-Compliant'!D192</f>
        <v>0</v>
      </c>
      <c r="E236" s="310"/>
      <c r="F236" s="310"/>
      <c r="G236" s="149"/>
      <c r="H236" s="149"/>
    </row>
    <row r="237" spans="1:8" x14ac:dyDescent="0.2">
      <c r="A237" s="152">
        <f>'High Risk Non-Compliant'!B193</f>
        <v>0</v>
      </c>
      <c r="B237" s="310">
        <f>'High Risk Non-Compliant'!C193</f>
        <v>0</v>
      </c>
      <c r="C237" s="310"/>
      <c r="D237" s="310">
        <f>'High Risk Non-Compliant'!D193</f>
        <v>0</v>
      </c>
      <c r="E237" s="310"/>
      <c r="F237" s="310"/>
      <c r="G237" s="149"/>
      <c r="H237" s="149"/>
    </row>
    <row r="238" spans="1:8" x14ac:dyDescent="0.2">
      <c r="A238" s="152">
        <f>'High Risk Non-Compliant'!B194</f>
        <v>0</v>
      </c>
      <c r="B238" s="310">
        <f>'High Risk Non-Compliant'!C194</f>
        <v>0</v>
      </c>
      <c r="C238" s="310"/>
      <c r="D238" s="310">
        <f>'High Risk Non-Compliant'!D194</f>
        <v>0</v>
      </c>
      <c r="E238" s="310"/>
      <c r="F238" s="310"/>
      <c r="G238" s="149"/>
      <c r="H238" s="149"/>
    </row>
    <row r="239" spans="1:8" x14ac:dyDescent="0.2">
      <c r="A239" s="152">
        <f>'High Risk Non-Compliant'!B195</f>
        <v>0</v>
      </c>
      <c r="B239" s="310">
        <f>'High Risk Non-Compliant'!C195</f>
        <v>0</v>
      </c>
      <c r="C239" s="310"/>
      <c r="D239" s="310">
        <f>'High Risk Non-Compliant'!D195</f>
        <v>0</v>
      </c>
      <c r="E239" s="310"/>
      <c r="F239" s="310"/>
      <c r="G239" s="149"/>
      <c r="H239" s="149"/>
    </row>
    <row r="240" spans="1:8" x14ac:dyDescent="0.2">
      <c r="A240" s="152">
        <f>'High Risk Non-Compliant'!B196</f>
        <v>0</v>
      </c>
      <c r="B240" s="310">
        <f>'High Risk Non-Compliant'!C196</f>
        <v>0</v>
      </c>
      <c r="C240" s="310"/>
      <c r="D240" s="310">
        <f>'High Risk Non-Compliant'!D196</f>
        <v>0</v>
      </c>
      <c r="E240" s="310"/>
      <c r="F240" s="310"/>
      <c r="G240" s="149"/>
      <c r="H240" s="149"/>
    </row>
    <row r="241" spans="1:8" x14ac:dyDescent="0.2">
      <c r="A241" s="152">
        <f>'High Risk Non-Compliant'!B197</f>
        <v>0</v>
      </c>
      <c r="B241" s="310">
        <f>'High Risk Non-Compliant'!C197</f>
        <v>0</v>
      </c>
      <c r="C241" s="310"/>
      <c r="D241" s="310">
        <f>'High Risk Non-Compliant'!D197</f>
        <v>0</v>
      </c>
      <c r="E241" s="310"/>
      <c r="F241" s="310"/>
      <c r="G241" s="149"/>
      <c r="H241" s="149"/>
    </row>
    <row r="242" spans="1:8" x14ac:dyDescent="0.2">
      <c r="A242" s="152">
        <f>'High Risk Non-Compliant'!B198</f>
        <v>0</v>
      </c>
      <c r="B242" s="310">
        <f>'High Risk Non-Compliant'!C198</f>
        <v>0</v>
      </c>
      <c r="C242" s="310"/>
      <c r="D242" s="310">
        <f>'High Risk Non-Compliant'!D198</f>
        <v>0</v>
      </c>
      <c r="E242" s="310"/>
      <c r="F242" s="310"/>
      <c r="G242" s="149"/>
      <c r="H242" s="149"/>
    </row>
    <row r="243" spans="1:8" ht="29.25" customHeight="1" x14ac:dyDescent="0.2">
      <c r="A243" s="152">
        <f>'High Risk Non-Compliant'!B199</f>
        <v>0</v>
      </c>
      <c r="B243" s="310">
        <f>'High Risk Non-Compliant'!C199</f>
        <v>0</v>
      </c>
      <c r="C243" s="310"/>
      <c r="D243" s="310">
        <f>'High Risk Non-Compliant'!D199</f>
        <v>0</v>
      </c>
      <c r="E243" s="310"/>
      <c r="F243" s="310"/>
      <c r="G243" s="149"/>
      <c r="H243" s="149"/>
    </row>
    <row r="244" spans="1:8" ht="29.25" customHeight="1" x14ac:dyDescent="0.2">
      <c r="A244" s="152">
        <f>'High Risk Non-Compliant'!B200</f>
        <v>0</v>
      </c>
      <c r="B244" s="310">
        <f>'High Risk Non-Compliant'!C200</f>
        <v>0</v>
      </c>
      <c r="C244" s="310"/>
      <c r="D244" s="310">
        <f>'High Risk Non-Compliant'!D200</f>
        <v>0</v>
      </c>
      <c r="E244" s="310"/>
      <c r="F244" s="310"/>
      <c r="G244" s="149"/>
      <c r="H244" s="149"/>
    </row>
    <row r="245" spans="1:8" ht="58.5" customHeight="1" x14ac:dyDescent="0.2">
      <c r="A245" s="152">
        <f>'High Risk Non-Compliant'!B201</f>
        <v>0</v>
      </c>
      <c r="B245" s="310">
        <f>'High Risk Non-Compliant'!C201</f>
        <v>0</v>
      </c>
      <c r="C245" s="310"/>
      <c r="D245" s="310">
        <f>'High Risk Non-Compliant'!D201</f>
        <v>0</v>
      </c>
      <c r="E245" s="310"/>
      <c r="F245" s="310"/>
      <c r="G245" s="149"/>
      <c r="H245" s="149"/>
    </row>
    <row r="246" spans="1:8" ht="44.1" customHeight="1" x14ac:dyDescent="0.2">
      <c r="A246" s="152">
        <f>'High Risk Non-Compliant'!B202</f>
        <v>0</v>
      </c>
      <c r="B246" s="310">
        <f>'High Risk Non-Compliant'!C202</f>
        <v>0</v>
      </c>
      <c r="C246" s="310"/>
      <c r="D246" s="310">
        <f>'High Risk Non-Compliant'!D202</f>
        <v>0</v>
      </c>
      <c r="E246" s="310"/>
      <c r="F246" s="310"/>
      <c r="G246" s="149"/>
      <c r="H246" s="149"/>
    </row>
    <row r="247" spans="1:8" ht="29.25" customHeight="1" x14ac:dyDescent="0.2">
      <c r="A247" s="152">
        <f>'High Risk Non-Compliant'!B203</f>
        <v>0</v>
      </c>
      <c r="B247" s="310">
        <f>'High Risk Non-Compliant'!C203</f>
        <v>0</v>
      </c>
      <c r="C247" s="310"/>
      <c r="D247" s="310">
        <f>'High Risk Non-Compliant'!D203</f>
        <v>0</v>
      </c>
      <c r="E247" s="310"/>
      <c r="F247" s="310"/>
      <c r="G247" s="149"/>
      <c r="H247" s="149"/>
    </row>
    <row r="248" spans="1:8" ht="44.1" customHeight="1" x14ac:dyDescent="0.2">
      <c r="A248" s="152">
        <f>'High Risk Non-Compliant'!B204</f>
        <v>0</v>
      </c>
      <c r="B248" s="310">
        <f>'High Risk Non-Compliant'!C204</f>
        <v>0</v>
      </c>
      <c r="C248" s="310"/>
      <c r="D248" s="310">
        <f>'High Risk Non-Compliant'!D204</f>
        <v>0</v>
      </c>
      <c r="E248" s="310"/>
      <c r="F248" s="310"/>
      <c r="G248" s="149"/>
      <c r="H248" s="149"/>
    </row>
    <row r="249" spans="1:8" ht="29.25" customHeight="1" x14ac:dyDescent="0.2">
      <c r="A249" s="152">
        <f>'High Risk Non-Compliant'!B205</f>
        <v>0</v>
      </c>
      <c r="B249" s="310">
        <f>'High Risk Non-Compliant'!C205</f>
        <v>0</v>
      </c>
      <c r="C249" s="310"/>
      <c r="D249" s="310">
        <f>'High Risk Non-Compliant'!D205</f>
        <v>0</v>
      </c>
      <c r="E249" s="310"/>
      <c r="F249" s="310"/>
      <c r="G249" s="149"/>
      <c r="H249" s="149"/>
    </row>
    <row r="250" spans="1:8" ht="175.5" customHeight="1" x14ac:dyDescent="0.2">
      <c r="A250" s="152">
        <f>'High Risk Non-Compliant'!B206</f>
        <v>0</v>
      </c>
      <c r="B250" s="310">
        <f>'High Risk Non-Compliant'!C206</f>
        <v>0</v>
      </c>
      <c r="C250" s="310"/>
      <c r="D250" s="310">
        <f>'High Risk Non-Compliant'!D206</f>
        <v>0</v>
      </c>
      <c r="E250" s="310"/>
      <c r="F250" s="310"/>
      <c r="G250" s="149"/>
      <c r="H250" s="149"/>
    </row>
    <row r="251" spans="1:8" ht="73.349999999999994" customHeight="1" x14ac:dyDescent="0.2">
      <c r="A251" s="152">
        <f>'High Risk Non-Compliant'!B207</f>
        <v>0</v>
      </c>
      <c r="B251" s="310">
        <f>'High Risk Non-Compliant'!C207</f>
        <v>0</v>
      </c>
      <c r="C251" s="310"/>
      <c r="D251" s="310">
        <f>'High Risk Non-Compliant'!D207</f>
        <v>0</v>
      </c>
      <c r="E251" s="310"/>
      <c r="F251" s="310"/>
      <c r="G251" s="149"/>
      <c r="H251" s="149"/>
    </row>
    <row r="252" spans="1:8" ht="87.75" customHeight="1" x14ac:dyDescent="0.2">
      <c r="A252" s="152">
        <f>'High Risk Non-Compliant'!B208</f>
        <v>0</v>
      </c>
      <c r="B252" s="310">
        <f>'High Risk Non-Compliant'!C208</f>
        <v>0</v>
      </c>
      <c r="C252" s="310"/>
      <c r="D252" s="310">
        <f>'High Risk Non-Compliant'!D208</f>
        <v>0</v>
      </c>
      <c r="E252" s="310"/>
      <c r="F252" s="310"/>
      <c r="G252" s="149"/>
      <c r="H252" s="149"/>
    </row>
    <row r="253" spans="1:8" x14ac:dyDescent="0.2">
      <c r="A253" s="152">
        <f>'High Risk Non-Compliant'!B209</f>
        <v>0</v>
      </c>
      <c r="B253" s="310">
        <f>'High Risk Non-Compliant'!C209</f>
        <v>0</v>
      </c>
      <c r="C253" s="310"/>
      <c r="D253" s="310">
        <f>'High Risk Non-Compliant'!D209</f>
        <v>0</v>
      </c>
      <c r="E253" s="310"/>
      <c r="F253" s="310"/>
      <c r="G253" s="149"/>
      <c r="H253" s="149"/>
    </row>
    <row r="254" spans="1:8" ht="29.25" customHeight="1" x14ac:dyDescent="0.2">
      <c r="A254" s="152">
        <f>'High Risk Non-Compliant'!B210</f>
        <v>0</v>
      </c>
      <c r="B254" s="310">
        <f>'High Risk Non-Compliant'!C210</f>
        <v>0</v>
      </c>
      <c r="C254" s="310"/>
      <c r="D254" s="310">
        <f>'High Risk Non-Compliant'!D210</f>
        <v>0</v>
      </c>
      <c r="E254" s="310"/>
      <c r="F254" s="310"/>
      <c r="G254" s="149"/>
      <c r="H254" s="149"/>
    </row>
    <row r="255" spans="1:8" x14ac:dyDescent="0.2">
      <c r="A255" s="152">
        <f>'High Risk Non-Compliant'!B211</f>
        <v>0</v>
      </c>
      <c r="B255" s="310">
        <f>'High Risk Non-Compliant'!C211</f>
        <v>0</v>
      </c>
      <c r="C255" s="310"/>
      <c r="D255" s="310">
        <f>'High Risk Non-Compliant'!D211</f>
        <v>0</v>
      </c>
      <c r="E255" s="310"/>
      <c r="F255" s="310"/>
      <c r="G255" s="149"/>
      <c r="H255" s="149"/>
    </row>
    <row r="256" spans="1:8" x14ac:dyDescent="0.2">
      <c r="A256" s="152">
        <f>'High Risk Non-Compliant'!B212</f>
        <v>0</v>
      </c>
      <c r="B256" s="310">
        <f>'High Risk Non-Compliant'!C212</f>
        <v>0</v>
      </c>
      <c r="C256" s="310"/>
      <c r="D256" s="310">
        <f>'High Risk Non-Compliant'!D212</f>
        <v>0</v>
      </c>
      <c r="E256" s="310"/>
      <c r="F256" s="310"/>
      <c r="G256" s="149"/>
      <c r="H256" s="149"/>
    </row>
    <row r="257" spans="1:8" x14ac:dyDescent="0.2">
      <c r="A257" s="152">
        <f>'High Risk Non-Compliant'!B213</f>
        <v>0</v>
      </c>
      <c r="B257" s="310">
        <f>'High Risk Non-Compliant'!C213</f>
        <v>0</v>
      </c>
      <c r="C257" s="310"/>
      <c r="D257" s="310">
        <f>'High Risk Non-Compliant'!D213</f>
        <v>0</v>
      </c>
      <c r="E257" s="310"/>
      <c r="F257" s="310"/>
      <c r="G257" s="149"/>
      <c r="H257" s="149"/>
    </row>
    <row r="258" spans="1:8" x14ac:dyDescent="0.2">
      <c r="A258" s="152">
        <f>'High Risk Non-Compliant'!B214</f>
        <v>0</v>
      </c>
      <c r="B258" s="310">
        <f>'High Risk Non-Compliant'!C214</f>
        <v>0</v>
      </c>
      <c r="C258" s="310"/>
      <c r="D258" s="310">
        <f>'High Risk Non-Compliant'!D214</f>
        <v>0</v>
      </c>
      <c r="E258" s="310"/>
      <c r="F258" s="310"/>
      <c r="G258" s="149"/>
      <c r="H258" s="149"/>
    </row>
    <row r="259" spans="1:8" x14ac:dyDescent="0.2">
      <c r="A259" s="152">
        <f>'High Risk Non-Compliant'!B215</f>
        <v>0</v>
      </c>
      <c r="B259" s="310">
        <f>'High Risk Non-Compliant'!C215</f>
        <v>0</v>
      </c>
      <c r="C259" s="310"/>
      <c r="D259" s="310">
        <f>'High Risk Non-Compliant'!D215</f>
        <v>0</v>
      </c>
      <c r="E259" s="310"/>
      <c r="F259" s="310"/>
      <c r="G259" s="149"/>
      <c r="H259" s="149"/>
    </row>
    <row r="260" spans="1:8" x14ac:dyDescent="0.2">
      <c r="A260" s="152">
        <f>'High Risk Non-Compliant'!B216</f>
        <v>0</v>
      </c>
      <c r="B260" s="310">
        <f>'High Risk Non-Compliant'!C216</f>
        <v>0</v>
      </c>
      <c r="C260" s="310"/>
      <c r="D260" s="310">
        <f>'High Risk Non-Compliant'!D216</f>
        <v>0</v>
      </c>
      <c r="E260" s="310"/>
      <c r="F260" s="310"/>
      <c r="G260" s="149"/>
      <c r="H260" s="149"/>
    </row>
    <row r="261" spans="1:8" x14ac:dyDescent="0.2">
      <c r="A261" s="152">
        <f>'High Risk Non-Compliant'!B217</f>
        <v>0</v>
      </c>
      <c r="B261" s="310">
        <f>'High Risk Non-Compliant'!C217</f>
        <v>0</v>
      </c>
      <c r="C261" s="310"/>
      <c r="D261" s="310">
        <f>'High Risk Non-Compliant'!D217</f>
        <v>0</v>
      </c>
      <c r="E261" s="310"/>
      <c r="F261" s="310"/>
      <c r="G261" s="149"/>
      <c r="H261" s="149"/>
    </row>
    <row r="262" spans="1:8" x14ac:dyDescent="0.2">
      <c r="A262" s="152">
        <f>'High Risk Non-Compliant'!B218</f>
        <v>0</v>
      </c>
      <c r="B262" s="310">
        <f>'High Risk Non-Compliant'!C218</f>
        <v>0</v>
      </c>
      <c r="C262" s="310"/>
      <c r="D262" s="310">
        <f>'High Risk Non-Compliant'!D218</f>
        <v>0</v>
      </c>
      <c r="E262" s="310"/>
      <c r="F262" s="310"/>
      <c r="G262" s="149"/>
      <c r="H262" s="149"/>
    </row>
    <row r="263" spans="1:8" x14ac:dyDescent="0.2">
      <c r="A263" s="152">
        <f>'High Risk Non-Compliant'!B219</f>
        <v>0</v>
      </c>
      <c r="B263" s="310">
        <f>'High Risk Non-Compliant'!C219</f>
        <v>0</v>
      </c>
      <c r="C263" s="310"/>
      <c r="D263" s="310">
        <f>'High Risk Non-Compliant'!D219</f>
        <v>0</v>
      </c>
      <c r="E263" s="310"/>
      <c r="F263" s="310"/>
      <c r="G263" s="149"/>
      <c r="H263" s="149"/>
    </row>
    <row r="264" spans="1:8" x14ac:dyDescent="0.2">
      <c r="A264" s="152">
        <f>'High Risk Non-Compliant'!B220</f>
        <v>0</v>
      </c>
      <c r="B264" s="310">
        <f>'High Risk Non-Compliant'!C220</f>
        <v>0</v>
      </c>
      <c r="C264" s="310"/>
      <c r="D264" s="310">
        <f>'High Risk Non-Compliant'!D220</f>
        <v>0</v>
      </c>
      <c r="E264" s="310"/>
      <c r="F264" s="310"/>
      <c r="G264" s="149"/>
      <c r="H264" s="149"/>
    </row>
    <row r="265" spans="1:8" ht="58.5" customHeight="1" x14ac:dyDescent="0.2">
      <c r="A265" s="152">
        <f>'High Risk Non-Compliant'!B221</f>
        <v>0</v>
      </c>
      <c r="B265" s="310">
        <f>'High Risk Non-Compliant'!C221</f>
        <v>0</v>
      </c>
      <c r="C265" s="310"/>
      <c r="D265" s="310">
        <f>'High Risk Non-Compliant'!D221</f>
        <v>0</v>
      </c>
      <c r="E265" s="310"/>
      <c r="F265" s="310"/>
      <c r="G265" s="149"/>
      <c r="H265" s="149"/>
    </row>
    <row r="266" spans="1:8" ht="58.5" customHeight="1" x14ac:dyDescent="0.2">
      <c r="A266" s="152">
        <f>'High Risk Non-Compliant'!B222</f>
        <v>0</v>
      </c>
      <c r="B266" s="310">
        <f>'High Risk Non-Compliant'!C222</f>
        <v>0</v>
      </c>
      <c r="C266" s="310"/>
      <c r="D266" s="310">
        <f>'High Risk Non-Compliant'!D222</f>
        <v>0</v>
      </c>
      <c r="E266" s="310"/>
      <c r="F266" s="310"/>
      <c r="G266" s="149"/>
      <c r="H266" s="149"/>
    </row>
    <row r="267" spans="1:8" ht="58.5" customHeight="1" x14ac:dyDescent="0.2">
      <c r="A267" s="152">
        <f>'High Risk Non-Compliant'!B223</f>
        <v>0</v>
      </c>
      <c r="B267" s="310">
        <f>'High Risk Non-Compliant'!C223</f>
        <v>0</v>
      </c>
      <c r="C267" s="310"/>
      <c r="D267" s="310">
        <f>'High Risk Non-Compliant'!D223</f>
        <v>0</v>
      </c>
      <c r="E267" s="310"/>
      <c r="F267" s="310"/>
      <c r="G267" s="149"/>
      <c r="H267" s="149"/>
    </row>
    <row r="268" spans="1:8" ht="58.5" customHeight="1" x14ac:dyDescent="0.2">
      <c r="A268" s="152">
        <f>'High Risk Non-Compliant'!B224</f>
        <v>0</v>
      </c>
      <c r="B268" s="310">
        <f>'High Risk Non-Compliant'!C224</f>
        <v>0</v>
      </c>
      <c r="C268" s="310"/>
      <c r="D268" s="310">
        <f>'High Risk Non-Compliant'!D224</f>
        <v>0</v>
      </c>
      <c r="E268" s="310"/>
      <c r="F268" s="310"/>
      <c r="G268" s="149"/>
      <c r="H268" s="149"/>
    </row>
    <row r="269" spans="1:8" ht="58.5" customHeight="1" x14ac:dyDescent="0.2">
      <c r="A269" s="152">
        <f>'High Risk Non-Compliant'!B225</f>
        <v>0</v>
      </c>
      <c r="B269" s="310">
        <f>'High Risk Non-Compliant'!C225</f>
        <v>0</v>
      </c>
      <c r="C269" s="310"/>
      <c r="D269" s="310">
        <f>'High Risk Non-Compliant'!D225</f>
        <v>0</v>
      </c>
      <c r="E269" s="310"/>
      <c r="F269" s="310"/>
      <c r="G269" s="149"/>
      <c r="H269" s="149"/>
    </row>
    <row r="270" spans="1:8" ht="58.5" customHeight="1" x14ac:dyDescent="0.2">
      <c r="A270" s="152">
        <f>'High Risk Non-Compliant'!B226</f>
        <v>0</v>
      </c>
      <c r="B270" s="310">
        <f>'High Risk Non-Compliant'!C226</f>
        <v>0</v>
      </c>
      <c r="C270" s="310"/>
      <c r="D270" s="310">
        <f>'High Risk Non-Compliant'!D226</f>
        <v>0</v>
      </c>
      <c r="E270" s="310"/>
      <c r="F270" s="310"/>
      <c r="G270" s="149"/>
      <c r="H270" s="149"/>
    </row>
    <row r="271" spans="1:8" ht="58.5" customHeight="1" x14ac:dyDescent="0.2">
      <c r="A271" s="152">
        <f>'High Risk Non-Compliant'!B227</f>
        <v>0</v>
      </c>
      <c r="B271" s="310">
        <f>'High Risk Non-Compliant'!C227</f>
        <v>0</v>
      </c>
      <c r="C271" s="310"/>
      <c r="D271" s="310">
        <f>'High Risk Non-Compliant'!D227</f>
        <v>0</v>
      </c>
      <c r="E271" s="310"/>
      <c r="F271" s="310"/>
      <c r="G271" s="149"/>
      <c r="H271" s="149"/>
    </row>
    <row r="272" spans="1:8" x14ac:dyDescent="0.2">
      <c r="A272" s="152">
        <f>'High Risk Non-Compliant'!B228</f>
        <v>0</v>
      </c>
      <c r="B272" s="310">
        <f>'High Risk Non-Compliant'!C228</f>
        <v>0</v>
      </c>
      <c r="C272" s="310"/>
      <c r="D272" s="310">
        <f>'High Risk Non-Compliant'!D228</f>
        <v>0</v>
      </c>
      <c r="E272" s="310"/>
      <c r="F272" s="310"/>
      <c r="G272" s="149"/>
      <c r="H272" s="149"/>
    </row>
    <row r="273" spans="1:8" x14ac:dyDescent="0.2">
      <c r="A273" s="152">
        <f>'High Risk Non-Compliant'!B229</f>
        <v>0</v>
      </c>
      <c r="B273" s="310">
        <f>'High Risk Non-Compliant'!C229</f>
        <v>0</v>
      </c>
      <c r="C273" s="310"/>
      <c r="D273" s="310">
        <f>'High Risk Non-Compliant'!D229</f>
        <v>0</v>
      </c>
      <c r="E273" s="310"/>
      <c r="F273" s="310"/>
      <c r="G273" s="149"/>
      <c r="H273" s="149"/>
    </row>
    <row r="274" spans="1:8" x14ac:dyDescent="0.2">
      <c r="A274" s="152">
        <f>'High Risk Non-Compliant'!B230</f>
        <v>0</v>
      </c>
      <c r="B274" s="310">
        <f>'High Risk Non-Compliant'!C230</f>
        <v>0</v>
      </c>
      <c r="C274" s="310"/>
      <c r="D274" s="310">
        <f>'High Risk Non-Compliant'!D230</f>
        <v>0</v>
      </c>
      <c r="E274" s="310"/>
      <c r="F274" s="310"/>
      <c r="G274" s="149"/>
      <c r="H274" s="149"/>
    </row>
    <row r="275" spans="1:8" ht="44.1" customHeight="1" x14ac:dyDescent="0.2">
      <c r="A275" s="152">
        <f>'High Risk Non-Compliant'!B231</f>
        <v>0</v>
      </c>
      <c r="B275" s="310">
        <f>'High Risk Non-Compliant'!C231</f>
        <v>0</v>
      </c>
      <c r="C275" s="310"/>
      <c r="D275" s="310">
        <f>'High Risk Non-Compliant'!D231</f>
        <v>0</v>
      </c>
      <c r="E275" s="310"/>
      <c r="F275" s="310"/>
      <c r="G275" s="149"/>
      <c r="H275" s="149"/>
    </row>
    <row r="276" spans="1:8" ht="44.1" customHeight="1" x14ac:dyDescent="0.2">
      <c r="A276" s="152">
        <f>'High Risk Non-Compliant'!B232</f>
        <v>0</v>
      </c>
      <c r="B276" s="310">
        <f>'High Risk Non-Compliant'!C232</f>
        <v>0</v>
      </c>
      <c r="C276" s="310"/>
      <c r="D276" s="310">
        <f>'High Risk Non-Compliant'!D232</f>
        <v>0</v>
      </c>
      <c r="E276" s="310"/>
      <c r="F276" s="310"/>
      <c r="G276" s="149"/>
      <c r="H276" s="149"/>
    </row>
    <row r="277" spans="1:8" ht="44.1" customHeight="1" x14ac:dyDescent="0.2">
      <c r="A277" s="152">
        <f>'High Risk Non-Compliant'!B233</f>
        <v>0</v>
      </c>
      <c r="B277" s="310">
        <f>'High Risk Non-Compliant'!C233</f>
        <v>0</v>
      </c>
      <c r="C277" s="310"/>
      <c r="D277" s="310">
        <f>'High Risk Non-Compliant'!D233</f>
        <v>0</v>
      </c>
      <c r="E277" s="310"/>
      <c r="F277" s="310"/>
      <c r="G277" s="149"/>
      <c r="H277" s="149"/>
    </row>
    <row r="278" spans="1:8" ht="44.1" customHeight="1" x14ac:dyDescent="0.2">
      <c r="A278" s="152">
        <f>'High Risk Non-Compliant'!B234</f>
        <v>0</v>
      </c>
      <c r="B278" s="310">
        <f>'High Risk Non-Compliant'!C234</f>
        <v>0</v>
      </c>
      <c r="C278" s="310"/>
      <c r="D278" s="310">
        <f>'High Risk Non-Compliant'!D234</f>
        <v>0</v>
      </c>
      <c r="E278" s="310"/>
      <c r="F278" s="310"/>
      <c r="G278" s="149"/>
      <c r="H278" s="149"/>
    </row>
    <row r="279" spans="1:8" ht="44.1" customHeight="1" x14ac:dyDescent="0.2">
      <c r="A279" s="152">
        <f>'High Risk Non-Compliant'!B235</f>
        <v>0</v>
      </c>
      <c r="B279" s="310">
        <f>'High Risk Non-Compliant'!C235</f>
        <v>0</v>
      </c>
      <c r="C279" s="310"/>
      <c r="D279" s="310">
        <f>'High Risk Non-Compliant'!D235</f>
        <v>0</v>
      </c>
      <c r="E279" s="310"/>
      <c r="F279" s="310"/>
      <c r="G279" s="149"/>
      <c r="H279" s="149"/>
    </row>
    <row r="280" spans="1:8" ht="44.1" customHeight="1" x14ac:dyDescent="0.2">
      <c r="A280" s="152">
        <f>'High Risk Non-Compliant'!B236</f>
        <v>0</v>
      </c>
      <c r="B280" s="310">
        <f>'High Risk Non-Compliant'!C236</f>
        <v>0</v>
      </c>
      <c r="C280" s="310"/>
      <c r="D280" s="310">
        <f>'High Risk Non-Compliant'!D236</f>
        <v>0</v>
      </c>
      <c r="E280" s="310"/>
      <c r="F280" s="310"/>
      <c r="G280" s="149"/>
      <c r="H280" s="149"/>
    </row>
    <row r="281" spans="1:8" ht="44.1" customHeight="1" x14ac:dyDescent="0.2">
      <c r="A281" s="152">
        <f>'High Risk Non-Compliant'!B237</f>
        <v>0</v>
      </c>
      <c r="B281" s="310">
        <f>'High Risk Non-Compliant'!C237</f>
        <v>0</v>
      </c>
      <c r="C281" s="310"/>
      <c r="D281" s="310">
        <f>'High Risk Non-Compliant'!D237</f>
        <v>0</v>
      </c>
      <c r="E281" s="310"/>
      <c r="F281" s="310"/>
      <c r="G281" s="149"/>
      <c r="H281" s="149"/>
    </row>
    <row r="282" spans="1:8" ht="29.25" customHeight="1" x14ac:dyDescent="0.2">
      <c r="A282" s="152">
        <f>'High Risk Non-Compliant'!B238</f>
        <v>0</v>
      </c>
      <c r="B282" s="310">
        <f>'High Risk Non-Compliant'!C238</f>
        <v>0</v>
      </c>
      <c r="C282" s="310"/>
      <c r="D282" s="310">
        <f>'High Risk Non-Compliant'!D238</f>
        <v>0</v>
      </c>
      <c r="E282" s="310"/>
      <c r="F282" s="310"/>
      <c r="G282" s="149"/>
      <c r="H282" s="149"/>
    </row>
    <row r="283" spans="1:8" ht="29.25" customHeight="1" x14ac:dyDescent="0.2">
      <c r="A283" s="152">
        <f>'High Risk Non-Compliant'!B239</f>
        <v>0</v>
      </c>
      <c r="B283" s="310">
        <f>'High Risk Non-Compliant'!C239</f>
        <v>0</v>
      </c>
      <c r="C283" s="310"/>
      <c r="D283" s="310">
        <f>'High Risk Non-Compliant'!D239</f>
        <v>0</v>
      </c>
      <c r="E283" s="310"/>
      <c r="F283" s="310"/>
      <c r="G283" s="149"/>
      <c r="H283" s="149"/>
    </row>
    <row r="284" spans="1:8" ht="29.25" customHeight="1" x14ac:dyDescent="0.2">
      <c r="A284" s="152">
        <f>'High Risk Non-Compliant'!B240</f>
        <v>0</v>
      </c>
      <c r="B284" s="310">
        <f>'High Risk Non-Compliant'!C240</f>
        <v>0</v>
      </c>
      <c r="C284" s="310"/>
      <c r="D284" s="310">
        <f>'High Risk Non-Compliant'!D240</f>
        <v>0</v>
      </c>
      <c r="E284" s="310"/>
      <c r="F284" s="310"/>
      <c r="G284" s="149"/>
      <c r="H284" s="149"/>
    </row>
    <row r="285" spans="1:8" x14ac:dyDescent="0.2">
      <c r="A285" s="152">
        <f>'High Risk Non-Compliant'!B241</f>
        <v>0</v>
      </c>
      <c r="B285" s="310">
        <f>'High Risk Non-Compliant'!C241</f>
        <v>0</v>
      </c>
      <c r="C285" s="310"/>
      <c r="D285" s="310">
        <f>'High Risk Non-Compliant'!D241</f>
        <v>0</v>
      </c>
      <c r="E285" s="310"/>
      <c r="F285" s="310"/>
      <c r="G285" s="149"/>
      <c r="H285" s="149"/>
    </row>
    <row r="286" spans="1:8" x14ac:dyDescent="0.2">
      <c r="A286" s="152">
        <f>'High Risk Non-Compliant'!B242</f>
        <v>0</v>
      </c>
      <c r="B286" s="310">
        <f>'High Risk Non-Compliant'!C242</f>
        <v>0</v>
      </c>
      <c r="C286" s="310"/>
      <c r="D286" s="310">
        <f>'High Risk Non-Compliant'!D242</f>
        <v>0</v>
      </c>
      <c r="E286" s="310"/>
      <c r="F286" s="310"/>
      <c r="G286" s="149"/>
      <c r="H286" s="149"/>
    </row>
    <row r="287" spans="1:8" ht="44.1" customHeight="1" x14ac:dyDescent="0.2">
      <c r="A287" s="152">
        <f>'High Risk Non-Compliant'!B243</f>
        <v>0</v>
      </c>
      <c r="B287" s="310">
        <f>'High Risk Non-Compliant'!C243</f>
        <v>0</v>
      </c>
      <c r="C287" s="310"/>
      <c r="D287" s="310">
        <f>'High Risk Non-Compliant'!D243</f>
        <v>0</v>
      </c>
      <c r="E287" s="310"/>
      <c r="F287" s="310"/>
      <c r="G287" s="149"/>
      <c r="H287" s="149"/>
    </row>
    <row r="288" spans="1:8" ht="44.1" customHeight="1" x14ac:dyDescent="0.2">
      <c r="A288" s="152">
        <f>'High Risk Non-Compliant'!B244</f>
        <v>0</v>
      </c>
      <c r="B288" s="310">
        <f>'High Risk Non-Compliant'!C244</f>
        <v>0</v>
      </c>
      <c r="C288" s="310"/>
      <c r="D288" s="310">
        <f>'High Risk Non-Compliant'!D244</f>
        <v>0</v>
      </c>
      <c r="E288" s="310"/>
      <c r="F288" s="310"/>
      <c r="G288" s="149"/>
      <c r="H288" s="149"/>
    </row>
    <row r="289" spans="1:8" ht="87.75" customHeight="1" x14ac:dyDescent="0.2">
      <c r="A289" s="152">
        <f>'High Risk Non-Compliant'!B245</f>
        <v>0</v>
      </c>
      <c r="B289" s="310">
        <f>'High Risk Non-Compliant'!C245</f>
        <v>0</v>
      </c>
      <c r="C289" s="310"/>
      <c r="D289" s="310">
        <f>'High Risk Non-Compliant'!D245</f>
        <v>0</v>
      </c>
      <c r="E289" s="310"/>
      <c r="F289" s="310"/>
      <c r="G289" s="149"/>
      <c r="H289" s="149"/>
    </row>
    <row r="290" spans="1:8" ht="73.349999999999994" customHeight="1" x14ac:dyDescent="0.2">
      <c r="A290" s="152">
        <f>'High Risk Non-Compliant'!B246</f>
        <v>0</v>
      </c>
      <c r="B290" s="310">
        <f>'High Risk Non-Compliant'!C246</f>
        <v>0</v>
      </c>
      <c r="C290" s="310"/>
      <c r="D290" s="310">
        <f>'High Risk Non-Compliant'!D246</f>
        <v>0</v>
      </c>
      <c r="E290" s="310"/>
      <c r="F290" s="310"/>
      <c r="G290" s="149"/>
      <c r="H290" s="149"/>
    </row>
    <row r="291" spans="1:8" ht="73.349999999999994" customHeight="1" x14ac:dyDescent="0.2">
      <c r="A291" s="152">
        <f>'High Risk Non-Compliant'!B247</f>
        <v>0</v>
      </c>
      <c r="B291" s="310">
        <f>'High Risk Non-Compliant'!C247</f>
        <v>0</v>
      </c>
      <c r="C291" s="310"/>
      <c r="D291" s="310">
        <f>'High Risk Non-Compliant'!D247</f>
        <v>0</v>
      </c>
      <c r="E291" s="310"/>
      <c r="F291" s="310"/>
      <c r="G291" s="149"/>
      <c r="H291" s="149"/>
    </row>
    <row r="292" spans="1:8" ht="44.1" customHeight="1" x14ac:dyDescent="0.2">
      <c r="A292" s="152">
        <f>'High Risk Non-Compliant'!B248</f>
        <v>0</v>
      </c>
      <c r="B292" s="310">
        <f>'High Risk Non-Compliant'!C248</f>
        <v>0</v>
      </c>
      <c r="C292" s="310"/>
      <c r="D292" s="310">
        <f>'High Risk Non-Compliant'!D248</f>
        <v>0</v>
      </c>
      <c r="E292" s="310"/>
      <c r="F292" s="310"/>
      <c r="G292" s="149"/>
      <c r="H292" s="149"/>
    </row>
    <row r="293" spans="1:8" ht="29.25" customHeight="1" x14ac:dyDescent="0.2">
      <c r="A293" s="152">
        <f>'High Risk Non-Compliant'!B249</f>
        <v>0</v>
      </c>
      <c r="B293" s="310">
        <f>'High Risk Non-Compliant'!C249</f>
        <v>0</v>
      </c>
      <c r="C293" s="310"/>
      <c r="D293" s="310">
        <f>'High Risk Non-Compliant'!D249</f>
        <v>0</v>
      </c>
      <c r="E293" s="310"/>
      <c r="F293" s="310"/>
      <c r="G293" s="149"/>
      <c r="H293" s="149"/>
    </row>
    <row r="294" spans="1:8" ht="29.25" customHeight="1" x14ac:dyDescent="0.2">
      <c r="A294" s="152">
        <f>'High Risk Non-Compliant'!B250</f>
        <v>0</v>
      </c>
      <c r="B294" s="310">
        <f>'High Risk Non-Compliant'!C250</f>
        <v>0</v>
      </c>
      <c r="C294" s="310"/>
      <c r="D294" s="310">
        <f>'High Risk Non-Compliant'!D250</f>
        <v>0</v>
      </c>
      <c r="E294" s="310"/>
      <c r="F294" s="310"/>
      <c r="G294" s="149"/>
      <c r="H294" s="149"/>
    </row>
    <row r="295" spans="1:8" ht="29.25" customHeight="1" x14ac:dyDescent="0.2">
      <c r="A295" s="152">
        <f>'High Risk Non-Compliant'!B251</f>
        <v>0</v>
      </c>
      <c r="B295" s="310">
        <f>'High Risk Non-Compliant'!C251</f>
        <v>0</v>
      </c>
      <c r="C295" s="310"/>
      <c r="D295" s="310">
        <f>'High Risk Non-Compliant'!D251</f>
        <v>0</v>
      </c>
      <c r="E295" s="310"/>
      <c r="F295" s="310"/>
      <c r="G295" s="149"/>
      <c r="H295" s="149"/>
    </row>
    <row r="296" spans="1:8" ht="44.1" customHeight="1" x14ac:dyDescent="0.2">
      <c r="A296" s="152">
        <f>'High Risk Non-Compliant'!B252</f>
        <v>0</v>
      </c>
      <c r="B296" s="310">
        <f>'High Risk Non-Compliant'!C252</f>
        <v>0</v>
      </c>
      <c r="C296" s="310"/>
      <c r="D296" s="310">
        <f>'High Risk Non-Compliant'!D252</f>
        <v>0</v>
      </c>
      <c r="E296" s="310"/>
      <c r="F296" s="310"/>
      <c r="G296" s="149"/>
      <c r="H296" s="149"/>
    </row>
    <row r="297" spans="1:8" ht="29.25" customHeight="1" x14ac:dyDescent="0.2">
      <c r="A297" s="152">
        <f>'High Risk Non-Compliant'!B253</f>
        <v>0</v>
      </c>
      <c r="B297" s="310">
        <f>'High Risk Non-Compliant'!C253</f>
        <v>0</v>
      </c>
      <c r="C297" s="310"/>
      <c r="D297" s="310">
        <f>'High Risk Non-Compliant'!D253</f>
        <v>0</v>
      </c>
      <c r="E297" s="310"/>
      <c r="F297" s="310"/>
      <c r="G297" s="149"/>
      <c r="H297" s="149"/>
    </row>
    <row r="298" spans="1:8" ht="73.349999999999994" customHeight="1" x14ac:dyDescent="0.2">
      <c r="A298" s="152">
        <f>'High Risk Non-Compliant'!B254</f>
        <v>0</v>
      </c>
      <c r="B298" s="310">
        <f>'High Risk Non-Compliant'!C254</f>
        <v>0</v>
      </c>
      <c r="C298" s="310"/>
      <c r="D298" s="310">
        <f>'High Risk Non-Compliant'!D254</f>
        <v>0</v>
      </c>
      <c r="E298" s="310"/>
      <c r="F298" s="310"/>
      <c r="G298" s="149"/>
      <c r="H298" s="149"/>
    </row>
    <row r="299" spans="1:8" ht="58.5" customHeight="1" x14ac:dyDescent="0.2">
      <c r="A299" s="152">
        <f>'High Risk Non-Compliant'!B255</f>
        <v>0</v>
      </c>
      <c r="B299" s="310">
        <f>'High Risk Non-Compliant'!C255</f>
        <v>0</v>
      </c>
      <c r="C299" s="310"/>
      <c r="D299" s="310">
        <f>'High Risk Non-Compliant'!D255</f>
        <v>0</v>
      </c>
      <c r="E299" s="310"/>
      <c r="F299" s="310"/>
      <c r="G299" s="149"/>
      <c r="H299" s="149"/>
    </row>
    <row r="300" spans="1:8" ht="73.349999999999994" customHeight="1" x14ac:dyDescent="0.2">
      <c r="A300" s="152">
        <f>'High Risk Non-Compliant'!B256</f>
        <v>0</v>
      </c>
      <c r="B300" s="310">
        <f>'High Risk Non-Compliant'!C256</f>
        <v>0</v>
      </c>
      <c r="C300" s="310"/>
      <c r="D300" s="310">
        <f>'High Risk Non-Compliant'!D256</f>
        <v>0</v>
      </c>
      <c r="E300" s="310"/>
      <c r="F300" s="310"/>
      <c r="G300" s="149"/>
      <c r="H300" s="149"/>
    </row>
    <row r="301" spans="1:8" ht="87.75" customHeight="1" x14ac:dyDescent="0.2">
      <c r="A301" s="152">
        <f>'High Risk Non-Compliant'!B257</f>
        <v>0</v>
      </c>
      <c r="B301" s="310">
        <f>'High Risk Non-Compliant'!C257</f>
        <v>0</v>
      </c>
      <c r="C301" s="310"/>
      <c r="D301" s="310">
        <f>'High Risk Non-Compliant'!D257</f>
        <v>0</v>
      </c>
      <c r="E301" s="310"/>
      <c r="F301" s="310"/>
      <c r="G301" s="149"/>
      <c r="H301" s="149"/>
    </row>
    <row r="302" spans="1:8" ht="29.25" customHeight="1" x14ac:dyDescent="0.2">
      <c r="A302" s="152">
        <f>'High Risk Non-Compliant'!B258</f>
        <v>0</v>
      </c>
      <c r="B302" s="310">
        <f>'High Risk Non-Compliant'!C258</f>
        <v>0</v>
      </c>
      <c r="C302" s="310"/>
      <c r="D302" s="310">
        <f>'High Risk Non-Compliant'!D258</f>
        <v>0</v>
      </c>
      <c r="E302" s="310"/>
      <c r="F302" s="310"/>
      <c r="G302" s="149"/>
      <c r="H302" s="149"/>
    </row>
    <row r="303" spans="1:8" ht="29.25" customHeight="1" x14ac:dyDescent="0.2">
      <c r="A303" s="152">
        <f>'High Risk Non-Compliant'!B259</f>
        <v>0</v>
      </c>
      <c r="B303" s="310">
        <f>'High Risk Non-Compliant'!C259</f>
        <v>0</v>
      </c>
      <c r="C303" s="310"/>
      <c r="D303" s="310">
        <f>'High Risk Non-Compliant'!D259</f>
        <v>0</v>
      </c>
      <c r="E303" s="310"/>
      <c r="F303" s="310"/>
      <c r="G303" s="149"/>
      <c r="H303" s="149"/>
    </row>
    <row r="304" spans="1:8" ht="29.25" customHeight="1" x14ac:dyDescent="0.2">
      <c r="A304" s="152">
        <f>'High Risk Non-Compliant'!B260</f>
        <v>0</v>
      </c>
      <c r="B304" s="310">
        <f>'High Risk Non-Compliant'!C260</f>
        <v>0</v>
      </c>
      <c r="C304" s="310"/>
      <c r="D304" s="310">
        <f>'High Risk Non-Compliant'!D260</f>
        <v>0</v>
      </c>
      <c r="E304" s="310"/>
      <c r="F304" s="310"/>
      <c r="G304" s="149"/>
      <c r="H304" s="149"/>
    </row>
    <row r="305" spans="1:8" ht="29.25" customHeight="1" x14ac:dyDescent="0.2">
      <c r="A305" s="152">
        <f>'High Risk Non-Compliant'!B261</f>
        <v>0</v>
      </c>
      <c r="B305" s="310">
        <f>'High Risk Non-Compliant'!C261</f>
        <v>0</v>
      </c>
      <c r="C305" s="310"/>
      <c r="D305" s="310">
        <f>'High Risk Non-Compliant'!D261</f>
        <v>0</v>
      </c>
      <c r="E305" s="310"/>
      <c r="F305" s="310"/>
      <c r="G305" s="149"/>
      <c r="H305" s="149"/>
    </row>
    <row r="306" spans="1:8" ht="29.25" customHeight="1" x14ac:dyDescent="0.2">
      <c r="A306" s="152">
        <f>'High Risk Non-Compliant'!B262</f>
        <v>0</v>
      </c>
      <c r="B306" s="310">
        <f>'High Risk Non-Compliant'!C262</f>
        <v>0</v>
      </c>
      <c r="C306" s="310"/>
      <c r="D306" s="310">
        <f>'High Risk Non-Compliant'!D262</f>
        <v>0</v>
      </c>
      <c r="E306" s="310"/>
      <c r="F306" s="310"/>
      <c r="G306" s="149"/>
      <c r="H306" s="149"/>
    </row>
    <row r="307" spans="1:8" ht="44.1" customHeight="1" x14ac:dyDescent="0.2">
      <c r="A307" s="152">
        <f>'High Risk Non-Compliant'!B263</f>
        <v>0</v>
      </c>
      <c r="B307" s="310">
        <f>'High Risk Non-Compliant'!C263</f>
        <v>0</v>
      </c>
      <c r="C307" s="310"/>
      <c r="D307" s="310">
        <f>'High Risk Non-Compliant'!D263</f>
        <v>0</v>
      </c>
      <c r="E307" s="310"/>
      <c r="F307" s="310"/>
      <c r="G307" s="149"/>
      <c r="H307" s="149"/>
    </row>
    <row r="308" spans="1:8" ht="29.25" customHeight="1" x14ac:dyDescent="0.2">
      <c r="A308" s="152">
        <f>'High Risk Non-Compliant'!B264</f>
        <v>0</v>
      </c>
      <c r="B308" s="310">
        <f>'High Risk Non-Compliant'!C264</f>
        <v>0</v>
      </c>
      <c r="C308" s="310"/>
      <c r="D308" s="310">
        <f>'High Risk Non-Compliant'!D264</f>
        <v>0</v>
      </c>
      <c r="E308" s="310"/>
      <c r="F308" s="310"/>
      <c r="G308" s="149"/>
      <c r="H308" s="149"/>
    </row>
    <row r="309" spans="1:8" x14ac:dyDescent="0.2">
      <c r="A309" s="152">
        <f>'High Risk Non-Compliant'!B265</f>
        <v>0</v>
      </c>
      <c r="B309" s="310">
        <f>'High Risk Non-Compliant'!C265</f>
        <v>0</v>
      </c>
      <c r="C309" s="310"/>
      <c r="D309" s="310">
        <f>'High Risk Non-Compliant'!D265</f>
        <v>0</v>
      </c>
      <c r="E309" s="310"/>
      <c r="F309" s="310"/>
      <c r="G309" s="149"/>
      <c r="H309" s="149"/>
    </row>
    <row r="310" spans="1:8" x14ac:dyDescent="0.2">
      <c r="A310" s="152">
        <f>'High Risk Non-Compliant'!B266</f>
        <v>0</v>
      </c>
      <c r="B310" s="310">
        <f>'High Risk Non-Compliant'!C266</f>
        <v>0</v>
      </c>
      <c r="C310" s="310"/>
      <c r="D310" s="310">
        <f>'High Risk Non-Compliant'!D266</f>
        <v>0</v>
      </c>
      <c r="E310" s="310"/>
      <c r="F310" s="310"/>
      <c r="G310" s="149"/>
      <c r="H310" s="149"/>
    </row>
    <row r="311" spans="1:8" ht="44.1" customHeight="1" x14ac:dyDescent="0.2">
      <c r="A311" s="152">
        <f>'High Risk Non-Compliant'!B267</f>
        <v>0</v>
      </c>
      <c r="B311" s="310">
        <f>'High Risk Non-Compliant'!C267</f>
        <v>0</v>
      </c>
      <c r="C311" s="310"/>
      <c r="D311" s="310">
        <f>'High Risk Non-Compliant'!D267</f>
        <v>0</v>
      </c>
      <c r="E311" s="310"/>
      <c r="F311" s="310"/>
      <c r="G311" s="149"/>
      <c r="H311" s="149"/>
    </row>
    <row r="312" spans="1:8" ht="44.1" customHeight="1" x14ac:dyDescent="0.2">
      <c r="A312" s="152">
        <f>'High Risk Non-Compliant'!B268</f>
        <v>0</v>
      </c>
      <c r="B312" s="310">
        <f>'High Risk Non-Compliant'!C268</f>
        <v>0</v>
      </c>
      <c r="C312" s="310"/>
      <c r="D312" s="310">
        <f>'High Risk Non-Compliant'!D268</f>
        <v>0</v>
      </c>
      <c r="E312" s="310"/>
      <c r="F312" s="310"/>
      <c r="G312" s="149"/>
      <c r="H312" s="149"/>
    </row>
    <row r="313" spans="1:8" ht="44.1" customHeight="1" x14ac:dyDescent="0.2">
      <c r="A313" s="152">
        <f>'High Risk Non-Compliant'!B269</f>
        <v>0</v>
      </c>
      <c r="B313" s="310">
        <f>'High Risk Non-Compliant'!C269</f>
        <v>0</v>
      </c>
      <c r="C313" s="310"/>
      <c r="D313" s="310">
        <f>'High Risk Non-Compliant'!D269</f>
        <v>0</v>
      </c>
      <c r="E313" s="310"/>
      <c r="F313" s="310"/>
      <c r="G313" s="149"/>
      <c r="H313" s="149"/>
    </row>
    <row r="314" spans="1:8" ht="44.1" customHeight="1" x14ac:dyDescent="0.2">
      <c r="A314" s="152">
        <f>'High Risk Non-Compliant'!B270</f>
        <v>0</v>
      </c>
      <c r="B314" s="310">
        <f>'High Risk Non-Compliant'!C270</f>
        <v>0</v>
      </c>
      <c r="C314" s="310"/>
      <c r="D314" s="310">
        <f>'High Risk Non-Compliant'!D270</f>
        <v>0</v>
      </c>
      <c r="E314" s="310"/>
      <c r="F314" s="310"/>
      <c r="G314" s="149"/>
      <c r="H314" s="149"/>
    </row>
    <row r="315" spans="1:8" ht="29.25" customHeight="1" x14ac:dyDescent="0.2">
      <c r="A315" s="152">
        <f>'High Risk Non-Compliant'!B271</f>
        <v>0</v>
      </c>
      <c r="B315" s="310">
        <f>'High Risk Non-Compliant'!C271</f>
        <v>0</v>
      </c>
      <c r="C315" s="310"/>
      <c r="D315" s="310">
        <f>'High Risk Non-Compliant'!D271</f>
        <v>0</v>
      </c>
      <c r="E315" s="310"/>
      <c r="F315" s="310"/>
      <c r="G315" s="149"/>
      <c r="H315" s="149"/>
    </row>
    <row r="316" spans="1:8" ht="29.25" customHeight="1" x14ac:dyDescent="0.2">
      <c r="A316" s="152">
        <f>'High Risk Non-Compliant'!B272</f>
        <v>0</v>
      </c>
      <c r="B316" s="310">
        <f>'High Risk Non-Compliant'!C272</f>
        <v>0</v>
      </c>
      <c r="C316" s="310"/>
      <c r="D316" s="310">
        <f>'High Risk Non-Compliant'!D272</f>
        <v>0</v>
      </c>
      <c r="E316" s="310"/>
      <c r="F316" s="310"/>
      <c r="G316" s="149"/>
      <c r="H316" s="149"/>
    </row>
  </sheetData>
  <mergeCells count="547">
    <mergeCell ref="B52:C52"/>
    <mergeCell ref="D52:F52"/>
    <mergeCell ref="B53:C53"/>
    <mergeCell ref="D53:F53"/>
    <mergeCell ref="B54:C54"/>
    <mergeCell ref="D54:F54"/>
    <mergeCell ref="B49:C49"/>
    <mergeCell ref="D49:F49"/>
    <mergeCell ref="B50:C50"/>
    <mergeCell ref="D50:F50"/>
    <mergeCell ref="B51:C51"/>
    <mergeCell ref="D51:F51"/>
    <mergeCell ref="B58:C58"/>
    <mergeCell ref="D58:F58"/>
    <mergeCell ref="B59:C59"/>
    <mergeCell ref="D59:F59"/>
    <mergeCell ref="B60:C60"/>
    <mergeCell ref="D60:F60"/>
    <mergeCell ref="B55:C55"/>
    <mergeCell ref="D55:F55"/>
    <mergeCell ref="B56:C56"/>
    <mergeCell ref="D56:F56"/>
    <mergeCell ref="B57:C57"/>
    <mergeCell ref="D57:F57"/>
    <mergeCell ref="B64:C64"/>
    <mergeCell ref="D64:F64"/>
    <mergeCell ref="B65:C65"/>
    <mergeCell ref="D65:F65"/>
    <mergeCell ref="B66:C66"/>
    <mergeCell ref="D66:F66"/>
    <mergeCell ref="B61:C61"/>
    <mergeCell ref="D61:F61"/>
    <mergeCell ref="B62:C62"/>
    <mergeCell ref="D62:F62"/>
    <mergeCell ref="B63:C63"/>
    <mergeCell ref="D63:F63"/>
    <mergeCell ref="B70:C70"/>
    <mergeCell ref="D70:F70"/>
    <mergeCell ref="B71:C71"/>
    <mergeCell ref="D71:F71"/>
    <mergeCell ref="B72:C72"/>
    <mergeCell ref="D72:F72"/>
    <mergeCell ref="B67:C67"/>
    <mergeCell ref="D67:F67"/>
    <mergeCell ref="B68:C68"/>
    <mergeCell ref="D68:F68"/>
    <mergeCell ref="B69:C69"/>
    <mergeCell ref="D69:F69"/>
    <mergeCell ref="B76:C76"/>
    <mergeCell ref="D76:F76"/>
    <mergeCell ref="B77:C77"/>
    <mergeCell ref="D77:F77"/>
    <mergeCell ref="B78:C78"/>
    <mergeCell ref="D78:F78"/>
    <mergeCell ref="B73:C73"/>
    <mergeCell ref="D73:F73"/>
    <mergeCell ref="B74:C74"/>
    <mergeCell ref="D74:F74"/>
    <mergeCell ref="B75:C75"/>
    <mergeCell ref="D75:F75"/>
    <mergeCell ref="B82:C82"/>
    <mergeCell ref="D82:F82"/>
    <mergeCell ref="B83:C83"/>
    <mergeCell ref="D83:F83"/>
    <mergeCell ref="B84:C84"/>
    <mergeCell ref="D84:F84"/>
    <mergeCell ref="B79:C79"/>
    <mergeCell ref="D79:F79"/>
    <mergeCell ref="B80:C80"/>
    <mergeCell ref="D80:F80"/>
    <mergeCell ref="B81:C81"/>
    <mergeCell ref="D81:F81"/>
    <mergeCell ref="B88:C88"/>
    <mergeCell ref="D88:F88"/>
    <mergeCell ref="B89:C89"/>
    <mergeCell ref="D89:F89"/>
    <mergeCell ref="B90:C90"/>
    <mergeCell ref="D90:F90"/>
    <mergeCell ref="B85:C85"/>
    <mergeCell ref="D85:F85"/>
    <mergeCell ref="B86:C86"/>
    <mergeCell ref="D86:F86"/>
    <mergeCell ref="B87:C87"/>
    <mergeCell ref="D87:F87"/>
    <mergeCell ref="B94:C94"/>
    <mergeCell ref="D94:F94"/>
    <mergeCell ref="B95:C95"/>
    <mergeCell ref="D95:F95"/>
    <mergeCell ref="B96:C96"/>
    <mergeCell ref="D96:F96"/>
    <mergeCell ref="B91:C91"/>
    <mergeCell ref="D91:F91"/>
    <mergeCell ref="B92:C92"/>
    <mergeCell ref="D92:F92"/>
    <mergeCell ref="B93:C93"/>
    <mergeCell ref="D93:F93"/>
    <mergeCell ref="B100:C100"/>
    <mergeCell ref="D100:F100"/>
    <mergeCell ref="B101:C101"/>
    <mergeCell ref="D101:F101"/>
    <mergeCell ref="B102:C102"/>
    <mergeCell ref="D102:F102"/>
    <mergeCell ref="B97:C97"/>
    <mergeCell ref="D97:F97"/>
    <mergeCell ref="B98:C98"/>
    <mergeCell ref="D98:F98"/>
    <mergeCell ref="B99:C99"/>
    <mergeCell ref="D99:F99"/>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96:C196"/>
    <mergeCell ref="D196:F196"/>
    <mergeCell ref="B197:C197"/>
    <mergeCell ref="D197:F197"/>
    <mergeCell ref="B198:C198"/>
    <mergeCell ref="D198:F198"/>
    <mergeCell ref="B193:C193"/>
    <mergeCell ref="D193:F193"/>
    <mergeCell ref="B194:C194"/>
    <mergeCell ref="D194:F194"/>
    <mergeCell ref="B195:C195"/>
    <mergeCell ref="D195:F195"/>
    <mergeCell ref="B202:C202"/>
    <mergeCell ref="D202:F202"/>
    <mergeCell ref="B203:C203"/>
    <mergeCell ref="D203:F203"/>
    <mergeCell ref="B204:C204"/>
    <mergeCell ref="D204:F204"/>
    <mergeCell ref="B199:C199"/>
    <mergeCell ref="D199:F199"/>
    <mergeCell ref="B200:C200"/>
    <mergeCell ref="D200:F200"/>
    <mergeCell ref="B201:C201"/>
    <mergeCell ref="D201:F201"/>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98:C298"/>
    <mergeCell ref="D298:F298"/>
    <mergeCell ref="B299:C299"/>
    <mergeCell ref="D299:F299"/>
    <mergeCell ref="B300:C300"/>
    <mergeCell ref="D300:F300"/>
    <mergeCell ref="B295:C295"/>
    <mergeCell ref="D295:F295"/>
    <mergeCell ref="B296:C296"/>
    <mergeCell ref="D296:F296"/>
    <mergeCell ref="B297:C297"/>
    <mergeCell ref="D297:F297"/>
    <mergeCell ref="B305:C305"/>
    <mergeCell ref="D305:F305"/>
    <mergeCell ref="B306:C306"/>
    <mergeCell ref="D306:F306"/>
    <mergeCell ref="B301:C301"/>
    <mergeCell ref="D301:F301"/>
    <mergeCell ref="B302:C302"/>
    <mergeCell ref="D302:F302"/>
    <mergeCell ref="B303:C303"/>
    <mergeCell ref="D303:F30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D5:E5"/>
    <mergeCell ref="A46:H46"/>
    <mergeCell ref="A47:F47"/>
    <mergeCell ref="G47:H47"/>
    <mergeCell ref="A1:G1"/>
    <mergeCell ref="A2:H2"/>
    <mergeCell ref="B4:H4"/>
    <mergeCell ref="B3:C3"/>
    <mergeCell ref="E3:H3"/>
  </mergeCells>
  <conditionalFormatting sqref="E6">
    <cfRule type="cellIs" dxfId="2434" priority="1" operator="equal">
      <formula>"D"</formula>
    </cfRule>
    <cfRule type="cellIs" dxfId="2433" priority="2" operator="equal">
      <formula>"C"</formula>
    </cfRule>
    <cfRule type="cellIs" dxfId="2432" priority="3" operator="equal">
      <formula>"B"</formula>
    </cfRule>
    <cfRule type="cellIs" dxfId="2431" priority="4" operator="equal">
      <formula>"A"</formula>
    </cfRule>
    <cfRule type="cellIs" dxfId="2430" priority="5" operator="equal">
      <formula>"F"</formula>
    </cfRule>
  </conditionalFormatting>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958"/>
  <sheetViews>
    <sheetView topLeftCell="A913" workbookViewId="0">
      <selection activeCell="A956" sqref="A956"/>
    </sheetView>
  </sheetViews>
  <sheetFormatPr defaultColWidth="8.5" defaultRowHeight="15" x14ac:dyDescent="0.2"/>
  <sheetData>
    <row r="1" spans="1:2" ht="60" x14ac:dyDescent="0.2">
      <c r="A1" s="57" t="s">
        <v>691</v>
      </c>
      <c r="B1" s="58" t="s">
        <v>922</v>
      </c>
    </row>
    <row r="2" spans="1:2" ht="75" x14ac:dyDescent="0.2">
      <c r="A2" s="57" t="s">
        <v>923</v>
      </c>
      <c r="B2" s="58" t="s">
        <v>924</v>
      </c>
    </row>
    <row r="3" spans="1:2" ht="75" x14ac:dyDescent="0.2">
      <c r="A3" s="57" t="s">
        <v>925</v>
      </c>
      <c r="B3" s="58" t="s">
        <v>926</v>
      </c>
    </row>
    <row r="4" spans="1:2" ht="45" x14ac:dyDescent="0.2">
      <c r="A4" s="57" t="s">
        <v>927</v>
      </c>
      <c r="B4" s="58" t="s">
        <v>928</v>
      </c>
    </row>
    <row r="5" spans="1:2" ht="45" x14ac:dyDescent="0.2">
      <c r="A5" s="57" t="s">
        <v>929</v>
      </c>
      <c r="B5" s="58" t="s">
        <v>930</v>
      </c>
    </row>
    <row r="6" spans="1:2" ht="75" x14ac:dyDescent="0.2">
      <c r="A6" s="57" t="s">
        <v>931</v>
      </c>
      <c r="B6" s="58" t="s">
        <v>932</v>
      </c>
    </row>
    <row r="7" spans="1:2" ht="75" x14ac:dyDescent="0.2">
      <c r="A7" s="57" t="s">
        <v>933</v>
      </c>
      <c r="B7" s="58" t="s">
        <v>934</v>
      </c>
    </row>
    <row r="8" spans="1:2" ht="45" x14ac:dyDescent="0.2">
      <c r="A8" s="57" t="s">
        <v>701</v>
      </c>
      <c r="B8" s="58" t="s">
        <v>935</v>
      </c>
    </row>
    <row r="9" spans="1:2" ht="30" x14ac:dyDescent="0.2">
      <c r="A9" s="57" t="s">
        <v>936</v>
      </c>
      <c r="B9" s="58" t="s">
        <v>937</v>
      </c>
    </row>
    <row r="10" spans="1:2" x14ac:dyDescent="0.2">
      <c r="A10" s="57" t="s">
        <v>694</v>
      </c>
      <c r="B10" s="58" t="s">
        <v>938</v>
      </c>
    </row>
    <row r="11" spans="1:2" ht="75" x14ac:dyDescent="0.2">
      <c r="A11" s="57" t="s">
        <v>695</v>
      </c>
      <c r="B11" s="58" t="s">
        <v>939</v>
      </c>
    </row>
    <row r="12" spans="1:2" ht="60" x14ac:dyDescent="0.2">
      <c r="A12" s="57" t="s">
        <v>940</v>
      </c>
      <c r="B12" s="58" t="s">
        <v>941</v>
      </c>
    </row>
    <row r="13" spans="1:2" ht="90" x14ac:dyDescent="0.2">
      <c r="A13" s="57" t="s">
        <v>696</v>
      </c>
      <c r="B13" s="58" t="s">
        <v>942</v>
      </c>
    </row>
    <row r="14" spans="1:2" ht="30" x14ac:dyDescent="0.2">
      <c r="A14" s="57" t="s">
        <v>943</v>
      </c>
      <c r="B14" s="58" t="s">
        <v>944</v>
      </c>
    </row>
    <row r="15" spans="1:2" ht="105" x14ac:dyDescent="0.2">
      <c r="A15" s="57" t="s">
        <v>945</v>
      </c>
      <c r="B15" s="58" t="s">
        <v>946</v>
      </c>
    </row>
    <row r="16" spans="1:2" ht="30" x14ac:dyDescent="0.2">
      <c r="A16" s="57" t="s">
        <v>947</v>
      </c>
      <c r="B16" s="58" t="s">
        <v>948</v>
      </c>
    </row>
    <row r="17" spans="1:2" ht="30" x14ac:dyDescent="0.2">
      <c r="A17" s="57" t="s">
        <v>670</v>
      </c>
      <c r="B17" s="58" t="s">
        <v>949</v>
      </c>
    </row>
    <row r="18" spans="1:2" ht="45" x14ac:dyDescent="0.2">
      <c r="A18" s="57" t="s">
        <v>950</v>
      </c>
      <c r="B18" s="58" t="s">
        <v>951</v>
      </c>
    </row>
    <row r="19" spans="1:2" ht="30" x14ac:dyDescent="0.2">
      <c r="A19" s="57" t="s">
        <v>668</v>
      </c>
      <c r="B19" s="58" t="s">
        <v>952</v>
      </c>
    </row>
    <row r="20" spans="1:2" ht="60" x14ac:dyDescent="0.2">
      <c r="A20" s="57" t="s">
        <v>665</v>
      </c>
      <c r="B20" s="58" t="s">
        <v>953</v>
      </c>
    </row>
    <row r="21" spans="1:2" ht="60" x14ac:dyDescent="0.2">
      <c r="A21" s="57" t="s">
        <v>954</v>
      </c>
      <c r="B21" s="58" t="s">
        <v>955</v>
      </c>
    </row>
    <row r="22" spans="1:2" ht="30" x14ac:dyDescent="0.2">
      <c r="A22" s="57" t="s">
        <v>685</v>
      </c>
      <c r="B22" s="58" t="s">
        <v>956</v>
      </c>
    </row>
    <row r="23" spans="1:2" ht="60" x14ac:dyDescent="0.2">
      <c r="A23" s="57" t="s">
        <v>672</v>
      </c>
      <c r="B23" s="58" t="s">
        <v>957</v>
      </c>
    </row>
    <row r="24" spans="1:2" ht="30" x14ac:dyDescent="0.2">
      <c r="A24" s="57" t="s">
        <v>958</v>
      </c>
      <c r="B24" s="58" t="s">
        <v>959</v>
      </c>
    </row>
    <row r="25" spans="1:2" ht="45" x14ac:dyDescent="0.2">
      <c r="A25" s="57" t="s">
        <v>960</v>
      </c>
      <c r="B25" s="58" t="s">
        <v>961</v>
      </c>
    </row>
    <row r="26" spans="1:2" ht="45" x14ac:dyDescent="0.2">
      <c r="A26" s="57" t="s">
        <v>644</v>
      </c>
      <c r="B26" s="58" t="s">
        <v>962</v>
      </c>
    </row>
    <row r="27" spans="1:2" ht="75" x14ac:dyDescent="0.2">
      <c r="A27" s="57" t="s">
        <v>640</v>
      </c>
      <c r="B27" s="58" t="s">
        <v>963</v>
      </c>
    </row>
    <row r="28" spans="1:2" ht="75" x14ac:dyDescent="0.2">
      <c r="A28" s="57" t="s">
        <v>964</v>
      </c>
      <c r="B28" s="58" t="s">
        <v>965</v>
      </c>
    </row>
    <row r="29" spans="1:2" ht="60" x14ac:dyDescent="0.2">
      <c r="A29" s="57" t="s">
        <v>643</v>
      </c>
      <c r="B29" s="58" t="s">
        <v>966</v>
      </c>
    </row>
    <row r="30" spans="1:2" ht="75" x14ac:dyDescent="0.2">
      <c r="A30" s="57" t="s">
        <v>704</v>
      </c>
      <c r="B30" s="58" t="s">
        <v>967</v>
      </c>
    </row>
    <row r="31" spans="1:2" ht="105" x14ac:dyDescent="0.2">
      <c r="A31" s="57" t="s">
        <v>968</v>
      </c>
      <c r="B31" s="58" t="s">
        <v>969</v>
      </c>
    </row>
    <row r="32" spans="1:2" ht="60" x14ac:dyDescent="0.2">
      <c r="A32" s="57" t="s">
        <v>697</v>
      </c>
      <c r="B32" s="58" t="s">
        <v>970</v>
      </c>
    </row>
    <row r="33" spans="1:2" ht="75" x14ac:dyDescent="0.2">
      <c r="A33" s="57" t="s">
        <v>641</v>
      </c>
      <c r="B33" s="58" t="s">
        <v>971</v>
      </c>
    </row>
    <row r="34" spans="1:2" ht="90" x14ac:dyDescent="0.2">
      <c r="A34" s="57" t="s">
        <v>972</v>
      </c>
      <c r="B34" s="58" t="s">
        <v>973</v>
      </c>
    </row>
    <row r="35" spans="1:2" ht="45" x14ac:dyDescent="0.2">
      <c r="A35" s="57" t="s">
        <v>974</v>
      </c>
      <c r="B35" s="58" t="s">
        <v>975</v>
      </c>
    </row>
    <row r="36" spans="1:2" ht="60" x14ac:dyDescent="0.2">
      <c r="A36" s="57" t="s">
        <v>686</v>
      </c>
      <c r="B36" s="58" t="s">
        <v>976</v>
      </c>
    </row>
    <row r="37" spans="1:2" ht="45" x14ac:dyDescent="0.2">
      <c r="A37" s="57" t="s">
        <v>650</v>
      </c>
      <c r="B37" s="58" t="s">
        <v>977</v>
      </c>
    </row>
    <row r="38" spans="1:2" ht="60" x14ac:dyDescent="0.2">
      <c r="A38" s="57" t="s">
        <v>978</v>
      </c>
      <c r="B38" s="58" t="s">
        <v>979</v>
      </c>
    </row>
    <row r="39" spans="1:2" ht="75" x14ac:dyDescent="0.2">
      <c r="A39" s="57" t="s">
        <v>980</v>
      </c>
      <c r="B39" s="58" t="s">
        <v>981</v>
      </c>
    </row>
    <row r="40" spans="1:2" ht="75" x14ac:dyDescent="0.2">
      <c r="A40" s="57" t="s">
        <v>666</v>
      </c>
      <c r="B40" s="58" t="s">
        <v>982</v>
      </c>
    </row>
    <row r="41" spans="1:2" ht="45" x14ac:dyDescent="0.2">
      <c r="A41" s="57" t="s">
        <v>671</v>
      </c>
      <c r="B41" s="58" t="s">
        <v>983</v>
      </c>
    </row>
    <row r="42" spans="1:2" ht="45" x14ac:dyDescent="0.2">
      <c r="A42" s="57" t="s">
        <v>675</v>
      </c>
      <c r="B42" s="58" t="s">
        <v>984</v>
      </c>
    </row>
    <row r="43" spans="1:2" ht="45" x14ac:dyDescent="0.2">
      <c r="A43" s="57" t="s">
        <v>688</v>
      </c>
      <c r="B43" s="58" t="s">
        <v>985</v>
      </c>
    </row>
    <row r="44" spans="1:2" ht="60" x14ac:dyDescent="0.2">
      <c r="A44" s="57" t="s">
        <v>986</v>
      </c>
      <c r="B44" s="58" t="s">
        <v>987</v>
      </c>
    </row>
    <row r="45" spans="1:2" ht="90" x14ac:dyDescent="0.2">
      <c r="A45" s="57" t="s">
        <v>678</v>
      </c>
      <c r="B45" s="58" t="s">
        <v>988</v>
      </c>
    </row>
    <row r="46" spans="1:2" ht="45" x14ac:dyDescent="0.2">
      <c r="A46" s="57" t="s">
        <v>989</v>
      </c>
      <c r="B46" s="58" t="s">
        <v>990</v>
      </c>
    </row>
    <row r="47" spans="1:2" ht="60" x14ac:dyDescent="0.2">
      <c r="A47" s="57" t="s">
        <v>991</v>
      </c>
      <c r="B47" s="58" t="s">
        <v>992</v>
      </c>
    </row>
    <row r="48" spans="1:2" ht="45" x14ac:dyDescent="0.2">
      <c r="A48" s="57" t="s">
        <v>677</v>
      </c>
      <c r="B48" s="58" t="s">
        <v>993</v>
      </c>
    </row>
    <row r="49" spans="1:2" ht="30" x14ac:dyDescent="0.2">
      <c r="A49" s="57" t="s">
        <v>994</v>
      </c>
      <c r="B49" s="58" t="s">
        <v>995</v>
      </c>
    </row>
    <row r="50" spans="1:2" ht="30" x14ac:dyDescent="0.2">
      <c r="A50" s="57" t="s">
        <v>996</v>
      </c>
      <c r="B50" s="58" t="s">
        <v>997</v>
      </c>
    </row>
    <row r="51" spans="1:2" ht="45" x14ac:dyDescent="0.2">
      <c r="A51" s="57" t="s">
        <v>998</v>
      </c>
      <c r="B51" s="58" t="s">
        <v>999</v>
      </c>
    </row>
    <row r="52" spans="1:2" ht="30" x14ac:dyDescent="0.2">
      <c r="A52" s="57" t="s">
        <v>1000</v>
      </c>
      <c r="B52" s="58" t="s">
        <v>1001</v>
      </c>
    </row>
    <row r="53" spans="1:2" ht="75" x14ac:dyDescent="0.2">
      <c r="A53" s="57" t="s">
        <v>642</v>
      </c>
      <c r="B53" s="58" t="s">
        <v>1002</v>
      </c>
    </row>
    <row r="54" spans="1:2" ht="75" x14ac:dyDescent="0.2">
      <c r="A54" s="57" t="s">
        <v>1003</v>
      </c>
      <c r="B54" s="58" t="s">
        <v>1004</v>
      </c>
    </row>
    <row r="55" spans="1:2" ht="45" x14ac:dyDescent="0.2">
      <c r="A55" s="57" t="s">
        <v>1005</v>
      </c>
      <c r="B55" s="58" t="s">
        <v>1006</v>
      </c>
    </row>
    <row r="56" spans="1:2" ht="60" x14ac:dyDescent="0.2">
      <c r="A56" s="57" t="s">
        <v>1007</v>
      </c>
      <c r="B56" s="58" t="s">
        <v>1008</v>
      </c>
    </row>
    <row r="57" spans="1:2" ht="75" x14ac:dyDescent="0.2">
      <c r="A57" s="57" t="s">
        <v>646</v>
      </c>
      <c r="B57" s="58" t="s">
        <v>1009</v>
      </c>
    </row>
    <row r="58" spans="1:2" ht="45" x14ac:dyDescent="0.2">
      <c r="A58" s="57" t="s">
        <v>663</v>
      </c>
      <c r="B58" s="58" t="s">
        <v>1010</v>
      </c>
    </row>
    <row r="59" spans="1:2" ht="45" x14ac:dyDescent="0.2">
      <c r="A59" s="57" t="s">
        <v>1011</v>
      </c>
      <c r="B59" s="58" t="s">
        <v>1012</v>
      </c>
    </row>
    <row r="60" spans="1:2" ht="135" x14ac:dyDescent="0.2">
      <c r="A60" s="57" t="s">
        <v>647</v>
      </c>
      <c r="B60" s="58" t="s">
        <v>1013</v>
      </c>
    </row>
    <row r="61" spans="1:2" ht="45" x14ac:dyDescent="0.2">
      <c r="A61" s="57" t="s">
        <v>1014</v>
      </c>
      <c r="B61" s="58" t="s">
        <v>1015</v>
      </c>
    </row>
    <row r="62" spans="1:2" ht="30" x14ac:dyDescent="0.2">
      <c r="A62" s="57" t="s">
        <v>669</v>
      </c>
      <c r="B62" s="58" t="s">
        <v>1016</v>
      </c>
    </row>
    <row r="63" spans="1:2" ht="30" x14ac:dyDescent="0.2">
      <c r="A63" s="57" t="s">
        <v>683</v>
      </c>
      <c r="B63" s="58" t="s">
        <v>1017</v>
      </c>
    </row>
    <row r="64" spans="1:2" ht="60" x14ac:dyDescent="0.2">
      <c r="A64" s="57" t="s">
        <v>1018</v>
      </c>
      <c r="B64" s="58" t="s">
        <v>1019</v>
      </c>
    </row>
    <row r="65" spans="1:2" ht="60" x14ac:dyDescent="0.2">
      <c r="A65" s="57" t="s">
        <v>1020</v>
      </c>
      <c r="B65" s="58" t="s">
        <v>1021</v>
      </c>
    </row>
    <row r="66" spans="1:2" ht="45" x14ac:dyDescent="0.2">
      <c r="A66" s="57" t="s">
        <v>1022</v>
      </c>
      <c r="B66" s="58" t="s">
        <v>1023</v>
      </c>
    </row>
    <row r="67" spans="1:2" ht="75" x14ac:dyDescent="0.2">
      <c r="A67" s="57" t="s">
        <v>645</v>
      </c>
      <c r="B67" s="58" t="s">
        <v>1024</v>
      </c>
    </row>
    <row r="68" spans="1:2" ht="75" x14ac:dyDescent="0.2">
      <c r="A68" s="57" t="s">
        <v>664</v>
      </c>
      <c r="B68" s="58" t="s">
        <v>1025</v>
      </c>
    </row>
    <row r="69" spans="1:2" ht="60" x14ac:dyDescent="0.2">
      <c r="A69" s="57" t="s">
        <v>1026</v>
      </c>
      <c r="B69" s="58" t="s">
        <v>1027</v>
      </c>
    </row>
    <row r="70" spans="1:2" ht="60" x14ac:dyDescent="0.2">
      <c r="A70" s="57" t="s">
        <v>698</v>
      </c>
      <c r="B70" s="58" t="s">
        <v>1028</v>
      </c>
    </row>
    <row r="71" spans="1:2" ht="30" x14ac:dyDescent="0.2">
      <c r="A71" s="57" t="s">
        <v>682</v>
      </c>
      <c r="B71" s="58" t="s">
        <v>1029</v>
      </c>
    </row>
    <row r="72" spans="1:2" ht="45" x14ac:dyDescent="0.2">
      <c r="A72" s="57" t="s">
        <v>676</v>
      </c>
      <c r="B72" s="58" t="s">
        <v>1030</v>
      </c>
    </row>
    <row r="73" spans="1:2" ht="45" x14ac:dyDescent="0.2">
      <c r="A73" s="57" t="s">
        <v>1031</v>
      </c>
      <c r="B73" s="58" t="s">
        <v>1032</v>
      </c>
    </row>
    <row r="74" spans="1:2" ht="90" x14ac:dyDescent="0.2">
      <c r="A74" s="57" t="s">
        <v>1033</v>
      </c>
      <c r="B74" s="58" t="s">
        <v>1034</v>
      </c>
    </row>
    <row r="75" spans="1:2" ht="60" x14ac:dyDescent="0.2">
      <c r="A75" s="57" t="s">
        <v>1035</v>
      </c>
      <c r="B75" s="58" t="s">
        <v>1036</v>
      </c>
    </row>
    <row r="76" spans="1:2" ht="45" x14ac:dyDescent="0.2">
      <c r="A76" s="57" t="s">
        <v>1037</v>
      </c>
      <c r="B76" s="58" t="s">
        <v>1038</v>
      </c>
    </row>
    <row r="77" spans="1:2" ht="75" x14ac:dyDescent="0.2">
      <c r="A77" s="57" t="s">
        <v>1039</v>
      </c>
      <c r="B77" s="58" t="s">
        <v>1040</v>
      </c>
    </row>
    <row r="78" spans="1:2" ht="120" x14ac:dyDescent="0.2">
      <c r="A78" s="57" t="s">
        <v>1041</v>
      </c>
      <c r="B78" s="58" t="s">
        <v>1042</v>
      </c>
    </row>
    <row r="79" spans="1:2" ht="75" x14ac:dyDescent="0.2">
      <c r="A79" s="57" t="s">
        <v>1043</v>
      </c>
      <c r="B79" s="58" t="s">
        <v>1044</v>
      </c>
    </row>
    <row r="80" spans="1:2" ht="75" x14ac:dyDescent="0.2">
      <c r="A80" s="57" t="s">
        <v>1045</v>
      </c>
      <c r="B80" s="58" t="s">
        <v>1046</v>
      </c>
    </row>
    <row r="81" spans="1:2" ht="45" x14ac:dyDescent="0.2">
      <c r="A81" s="57" t="s">
        <v>638</v>
      </c>
      <c r="B81" s="58" t="s">
        <v>1047</v>
      </c>
    </row>
    <row r="82" spans="1:2" ht="75" x14ac:dyDescent="0.2">
      <c r="A82" s="57" t="s">
        <v>1048</v>
      </c>
      <c r="B82" s="58" t="s">
        <v>1049</v>
      </c>
    </row>
    <row r="83" spans="1:2" ht="105" x14ac:dyDescent="0.2">
      <c r="A83" s="57" t="s">
        <v>1050</v>
      </c>
      <c r="B83" s="58" t="s">
        <v>1051</v>
      </c>
    </row>
    <row r="84" spans="1:2" ht="75" x14ac:dyDescent="0.2">
      <c r="A84" s="57" t="s">
        <v>1052</v>
      </c>
      <c r="B84" s="58" t="s">
        <v>1053</v>
      </c>
    </row>
    <row r="85" spans="1:2" ht="75" x14ac:dyDescent="0.2">
      <c r="A85" s="57" t="s">
        <v>648</v>
      </c>
      <c r="B85" s="58" t="s">
        <v>1054</v>
      </c>
    </row>
    <row r="86" spans="1:2" ht="75" x14ac:dyDescent="0.2">
      <c r="A86" s="57" t="s">
        <v>1055</v>
      </c>
      <c r="B86" s="58" t="s">
        <v>1056</v>
      </c>
    </row>
    <row r="87" spans="1:2" ht="60" x14ac:dyDescent="0.2">
      <c r="A87" s="57" t="s">
        <v>1057</v>
      </c>
      <c r="B87" s="58" t="s">
        <v>1058</v>
      </c>
    </row>
    <row r="88" spans="1:2" ht="45" x14ac:dyDescent="0.2">
      <c r="A88" s="57" t="s">
        <v>692</v>
      </c>
      <c r="B88" s="58" t="s">
        <v>1059</v>
      </c>
    </row>
    <row r="89" spans="1:2" ht="45" x14ac:dyDescent="0.2">
      <c r="A89" s="57" t="s">
        <v>1060</v>
      </c>
      <c r="B89" s="58" t="s">
        <v>1061</v>
      </c>
    </row>
    <row r="90" spans="1:2" ht="45" x14ac:dyDescent="0.2">
      <c r="A90" s="57" t="s">
        <v>1062</v>
      </c>
      <c r="B90" s="58" t="s">
        <v>1063</v>
      </c>
    </row>
    <row r="91" spans="1:2" ht="90" x14ac:dyDescent="0.2">
      <c r="A91" s="57" t="s">
        <v>1064</v>
      </c>
      <c r="B91" s="58" t="s">
        <v>1065</v>
      </c>
    </row>
    <row r="92" spans="1:2" ht="90" x14ac:dyDescent="0.2">
      <c r="A92" s="57" t="s">
        <v>1066</v>
      </c>
      <c r="B92" s="58" t="s">
        <v>1067</v>
      </c>
    </row>
    <row r="93" spans="1:2" ht="105" x14ac:dyDescent="0.2">
      <c r="A93" s="57" t="s">
        <v>639</v>
      </c>
      <c r="B93" s="58" t="s">
        <v>1068</v>
      </c>
    </row>
    <row r="94" spans="1:2" ht="60" x14ac:dyDescent="0.2">
      <c r="A94" s="57" t="s">
        <v>635</v>
      </c>
      <c r="B94" s="58" t="s">
        <v>1069</v>
      </c>
    </row>
    <row r="95" spans="1:2" ht="60" x14ac:dyDescent="0.2">
      <c r="A95" s="57" t="s">
        <v>637</v>
      </c>
      <c r="B95" s="58" t="s">
        <v>1070</v>
      </c>
    </row>
    <row r="96" spans="1:2" ht="60" x14ac:dyDescent="0.2">
      <c r="A96" s="57" t="s">
        <v>703</v>
      </c>
      <c r="B96" s="58" t="s">
        <v>1071</v>
      </c>
    </row>
    <row r="97" spans="1:2" ht="60" x14ac:dyDescent="0.2">
      <c r="A97" s="57" t="s">
        <v>1072</v>
      </c>
      <c r="B97" s="58" t="s">
        <v>1073</v>
      </c>
    </row>
    <row r="98" spans="1:2" ht="75" x14ac:dyDescent="0.2">
      <c r="A98" s="57" t="s">
        <v>1074</v>
      </c>
      <c r="B98" s="58" t="s">
        <v>1075</v>
      </c>
    </row>
    <row r="99" spans="1:2" ht="105" x14ac:dyDescent="0.2">
      <c r="A99" s="57" t="s">
        <v>1076</v>
      </c>
      <c r="B99" s="58" t="s">
        <v>1077</v>
      </c>
    </row>
    <row r="100" spans="1:2" ht="75" x14ac:dyDescent="0.2">
      <c r="A100" s="57" t="s">
        <v>693</v>
      </c>
      <c r="B100" s="58" t="s">
        <v>1078</v>
      </c>
    </row>
    <row r="101" spans="1:2" ht="75" x14ac:dyDescent="0.2">
      <c r="A101" s="57" t="s">
        <v>1079</v>
      </c>
      <c r="B101" s="58" t="s">
        <v>1080</v>
      </c>
    </row>
    <row r="102" spans="1:2" ht="45" x14ac:dyDescent="0.2">
      <c r="A102" s="57" t="s">
        <v>1081</v>
      </c>
      <c r="B102" s="58" t="s">
        <v>1082</v>
      </c>
    </row>
    <row r="103" spans="1:2" ht="60" x14ac:dyDescent="0.2">
      <c r="A103" s="57" t="s">
        <v>657</v>
      </c>
      <c r="B103" s="58" t="s">
        <v>1083</v>
      </c>
    </row>
    <row r="104" spans="1:2" ht="75" x14ac:dyDescent="0.2">
      <c r="A104" s="57" t="s">
        <v>634</v>
      </c>
      <c r="B104" s="58" t="s">
        <v>1084</v>
      </c>
    </row>
    <row r="105" spans="1:2" ht="90" x14ac:dyDescent="0.2">
      <c r="A105" s="57" t="s">
        <v>658</v>
      </c>
      <c r="B105" s="58" t="s">
        <v>1085</v>
      </c>
    </row>
    <row r="106" spans="1:2" ht="90" x14ac:dyDescent="0.2">
      <c r="A106" s="57" t="s">
        <v>659</v>
      </c>
      <c r="B106" s="58" t="s">
        <v>1086</v>
      </c>
    </row>
    <row r="107" spans="1:2" ht="120" x14ac:dyDescent="0.2">
      <c r="A107" s="57" t="s">
        <v>633</v>
      </c>
      <c r="B107" s="58" t="s">
        <v>1087</v>
      </c>
    </row>
    <row r="108" spans="1:2" ht="45" x14ac:dyDescent="0.2">
      <c r="A108" s="57" t="s">
        <v>1088</v>
      </c>
      <c r="B108" s="58" t="s">
        <v>1089</v>
      </c>
    </row>
    <row r="109" spans="1:2" ht="30" x14ac:dyDescent="0.2">
      <c r="A109" s="57" t="s">
        <v>1090</v>
      </c>
      <c r="B109" s="58" t="s">
        <v>1091</v>
      </c>
    </row>
    <row r="110" spans="1:2" ht="120" x14ac:dyDescent="0.2">
      <c r="A110" s="57" t="s">
        <v>636</v>
      </c>
      <c r="B110" s="58" t="s">
        <v>1092</v>
      </c>
    </row>
    <row r="111" spans="1:2" ht="75" x14ac:dyDescent="0.2">
      <c r="A111" s="57" t="s">
        <v>1093</v>
      </c>
      <c r="B111" s="58" t="s">
        <v>1094</v>
      </c>
    </row>
    <row r="112" spans="1:2" ht="75" x14ac:dyDescent="0.2">
      <c r="A112" s="57" t="s">
        <v>702</v>
      </c>
      <c r="B112" s="58" t="s">
        <v>1095</v>
      </c>
    </row>
    <row r="113" spans="1:2" ht="90" x14ac:dyDescent="0.2">
      <c r="A113" s="57" t="s">
        <v>1096</v>
      </c>
      <c r="B113" s="58" t="s">
        <v>1097</v>
      </c>
    </row>
    <row r="114" spans="1:2" ht="45" x14ac:dyDescent="0.2">
      <c r="A114" s="57" t="s">
        <v>1098</v>
      </c>
      <c r="B114" s="58" t="s">
        <v>1099</v>
      </c>
    </row>
    <row r="115" spans="1:2" ht="28.5" x14ac:dyDescent="0.2">
      <c r="A115" s="55" t="s">
        <v>667</v>
      </c>
      <c r="B115" s="52" t="s">
        <v>1100</v>
      </c>
    </row>
    <row r="116" spans="1:2" ht="30" x14ac:dyDescent="0.2">
      <c r="A116" s="51" t="s">
        <v>1101</v>
      </c>
      <c r="B116" s="52" t="s">
        <v>1102</v>
      </c>
    </row>
    <row r="117" spans="1:2" ht="42.75" x14ac:dyDescent="0.2">
      <c r="A117" s="54" t="s">
        <v>652</v>
      </c>
      <c r="B117" s="52" t="s">
        <v>1103</v>
      </c>
    </row>
    <row r="118" spans="1:2" ht="57" x14ac:dyDescent="0.2">
      <c r="A118" s="54" t="s">
        <v>653</v>
      </c>
      <c r="B118" s="52" t="s">
        <v>1104</v>
      </c>
    </row>
    <row r="119" spans="1:2" x14ac:dyDescent="0.2">
      <c r="A119" s="56" t="s">
        <v>597</v>
      </c>
      <c r="B119" s="60" t="s">
        <v>1105</v>
      </c>
    </row>
    <row r="120" spans="1:2" x14ac:dyDescent="0.2">
      <c r="A120" s="56" t="s">
        <v>591</v>
      </c>
      <c r="B120" s="60" t="s">
        <v>1106</v>
      </c>
    </row>
    <row r="121" spans="1:2" x14ac:dyDescent="0.2">
      <c r="A121" s="56" t="s">
        <v>600</v>
      </c>
      <c r="B121" s="59" t="s">
        <v>1107</v>
      </c>
    </row>
    <row r="122" spans="1:2" x14ac:dyDescent="0.2">
      <c r="A122" s="56" t="s">
        <v>607</v>
      </c>
      <c r="B122" s="59" t="s">
        <v>1108</v>
      </c>
    </row>
    <row r="123" spans="1:2" x14ac:dyDescent="0.2">
      <c r="A123" s="56" t="s">
        <v>593</v>
      </c>
      <c r="B123" s="60" t="s">
        <v>1109</v>
      </c>
    </row>
    <row r="124" spans="1:2" x14ac:dyDescent="0.2">
      <c r="A124" s="56" t="s">
        <v>596</v>
      </c>
      <c r="B124" s="60" t="s">
        <v>1110</v>
      </c>
    </row>
    <row r="125" spans="1:2" x14ac:dyDescent="0.2">
      <c r="A125" s="56" t="s">
        <v>592</v>
      </c>
      <c r="B125" s="59" t="s">
        <v>1111</v>
      </c>
    </row>
    <row r="126" spans="1:2" x14ac:dyDescent="0.2">
      <c r="A126" s="56" t="s">
        <v>1112</v>
      </c>
      <c r="B126" s="60" t="s">
        <v>1113</v>
      </c>
    </row>
    <row r="127" spans="1:2" x14ac:dyDescent="0.2">
      <c r="A127" s="56" t="s">
        <v>601</v>
      </c>
      <c r="B127" s="59" t="s">
        <v>1114</v>
      </c>
    </row>
    <row r="128" spans="1:2" x14ac:dyDescent="0.2">
      <c r="A128" s="56" t="s">
        <v>587</v>
      </c>
      <c r="B128" s="59" t="s">
        <v>1115</v>
      </c>
    </row>
    <row r="129" spans="1:2" x14ac:dyDescent="0.2">
      <c r="A129" s="56" t="s">
        <v>1116</v>
      </c>
      <c r="B129" s="60" t="s">
        <v>1117</v>
      </c>
    </row>
    <row r="130" spans="1:2" x14ac:dyDescent="0.2">
      <c r="A130" s="56" t="s">
        <v>590</v>
      </c>
      <c r="B130" s="60" t="s">
        <v>1118</v>
      </c>
    </row>
    <row r="131" spans="1:2" x14ac:dyDescent="0.2">
      <c r="A131" s="56" t="s">
        <v>585</v>
      </c>
      <c r="B131" s="60" t="s">
        <v>1119</v>
      </c>
    </row>
    <row r="132" spans="1:2" x14ac:dyDescent="0.2">
      <c r="A132" s="56" t="s">
        <v>588</v>
      </c>
      <c r="B132" s="60" t="s">
        <v>1120</v>
      </c>
    </row>
    <row r="133" spans="1:2" x14ac:dyDescent="0.2">
      <c r="A133" s="56" t="s">
        <v>1121</v>
      </c>
      <c r="B133" s="59" t="s">
        <v>1122</v>
      </c>
    </row>
    <row r="134" spans="1:2" x14ac:dyDescent="0.2">
      <c r="A134" s="56" t="s">
        <v>594</v>
      </c>
      <c r="B134" s="60" t="s">
        <v>1123</v>
      </c>
    </row>
    <row r="135" spans="1:2" x14ac:dyDescent="0.2">
      <c r="A135" s="56" t="s">
        <v>608</v>
      </c>
      <c r="B135" s="60" t="s">
        <v>1124</v>
      </c>
    </row>
    <row r="136" spans="1:2" x14ac:dyDescent="0.2">
      <c r="A136" s="56" t="s">
        <v>586</v>
      </c>
      <c r="B136" s="60" t="s">
        <v>1125</v>
      </c>
    </row>
    <row r="137" spans="1:2" x14ac:dyDescent="0.2">
      <c r="A137" s="56" t="s">
        <v>604</v>
      </c>
      <c r="B137" s="60" t="s">
        <v>1126</v>
      </c>
    </row>
    <row r="138" spans="1:2" x14ac:dyDescent="0.2">
      <c r="A138" s="56" t="s">
        <v>610</v>
      </c>
      <c r="B138" s="60" t="s">
        <v>1127</v>
      </c>
    </row>
    <row r="139" spans="1:2" x14ac:dyDescent="0.2">
      <c r="A139" s="61" t="s">
        <v>1128</v>
      </c>
      <c r="B139" s="61" t="s">
        <v>1129</v>
      </c>
    </row>
    <row r="140" spans="1:2" x14ac:dyDescent="0.2">
      <c r="A140" s="61" t="s">
        <v>791</v>
      </c>
      <c r="B140" s="61" t="s">
        <v>1130</v>
      </c>
    </row>
    <row r="141" spans="1:2" x14ac:dyDescent="0.2">
      <c r="A141" s="61" t="s">
        <v>799</v>
      </c>
      <c r="B141" s="61" t="s">
        <v>1131</v>
      </c>
    </row>
    <row r="142" spans="1:2" x14ac:dyDescent="0.2">
      <c r="A142" s="61" t="s">
        <v>1132</v>
      </c>
      <c r="B142" s="61" t="s">
        <v>1133</v>
      </c>
    </row>
    <row r="143" spans="1:2" x14ac:dyDescent="0.2">
      <c r="A143" s="61" t="s">
        <v>786</v>
      </c>
      <c r="B143" s="61" t="s">
        <v>1134</v>
      </c>
    </row>
    <row r="144" spans="1:2" x14ac:dyDescent="0.2">
      <c r="A144" s="61" t="s">
        <v>1135</v>
      </c>
      <c r="B144" s="61" t="s">
        <v>1136</v>
      </c>
    </row>
    <row r="145" spans="1:2" x14ac:dyDescent="0.2">
      <c r="A145" s="61" t="s">
        <v>1137</v>
      </c>
      <c r="B145" s="61" t="s">
        <v>1138</v>
      </c>
    </row>
    <row r="146" spans="1:2" x14ac:dyDescent="0.2">
      <c r="A146" s="61" t="s">
        <v>1139</v>
      </c>
      <c r="B146" s="61" t="s">
        <v>1140</v>
      </c>
    </row>
    <row r="147" spans="1:2" x14ac:dyDescent="0.2">
      <c r="A147" s="61" t="s">
        <v>1141</v>
      </c>
      <c r="B147" s="61" t="s">
        <v>1142</v>
      </c>
    </row>
    <row r="148" spans="1:2" x14ac:dyDescent="0.2">
      <c r="A148" s="61" t="s">
        <v>1143</v>
      </c>
      <c r="B148" s="61" t="s">
        <v>1144</v>
      </c>
    </row>
    <row r="149" spans="1:2" x14ac:dyDescent="0.2">
      <c r="A149" s="61" t="s">
        <v>1145</v>
      </c>
      <c r="B149" s="61" t="s">
        <v>1146</v>
      </c>
    </row>
    <row r="150" spans="1:2" x14ac:dyDescent="0.2">
      <c r="A150" s="61" t="s">
        <v>1147</v>
      </c>
      <c r="B150" s="61" t="s">
        <v>1148</v>
      </c>
    </row>
    <row r="151" spans="1:2" x14ac:dyDescent="0.2">
      <c r="A151" s="61" t="s">
        <v>823</v>
      </c>
      <c r="B151" s="61" t="s">
        <v>1149</v>
      </c>
    </row>
    <row r="152" spans="1:2" x14ac:dyDescent="0.2">
      <c r="A152" s="61" t="s">
        <v>714</v>
      </c>
      <c r="B152" s="61" t="s">
        <v>1150</v>
      </c>
    </row>
    <row r="153" spans="1:2" x14ac:dyDescent="0.2">
      <c r="A153" s="61" t="s">
        <v>1151</v>
      </c>
      <c r="B153" s="61" t="s">
        <v>1152</v>
      </c>
    </row>
    <row r="154" spans="1:2" x14ac:dyDescent="0.2">
      <c r="A154" s="61" t="s">
        <v>1153</v>
      </c>
      <c r="B154" s="61" t="s">
        <v>1154</v>
      </c>
    </row>
    <row r="155" spans="1:2" x14ac:dyDescent="0.2">
      <c r="A155" s="61" t="s">
        <v>1155</v>
      </c>
      <c r="B155" s="61" t="s">
        <v>1156</v>
      </c>
    </row>
    <row r="156" spans="1:2" x14ac:dyDescent="0.2">
      <c r="A156" s="61" t="s">
        <v>1157</v>
      </c>
      <c r="B156" s="61" t="s">
        <v>1158</v>
      </c>
    </row>
    <row r="157" spans="1:2" x14ac:dyDescent="0.2">
      <c r="A157" s="61" t="s">
        <v>1159</v>
      </c>
      <c r="B157" s="61" t="s">
        <v>1160</v>
      </c>
    </row>
    <row r="158" spans="1:2" x14ac:dyDescent="0.2">
      <c r="A158" s="61" t="s">
        <v>1161</v>
      </c>
      <c r="B158" s="61" t="s">
        <v>1162</v>
      </c>
    </row>
    <row r="159" spans="1:2" x14ac:dyDescent="0.2">
      <c r="A159" s="61" t="s">
        <v>1163</v>
      </c>
      <c r="B159" s="61" t="s">
        <v>1164</v>
      </c>
    </row>
    <row r="160" spans="1:2" x14ac:dyDescent="0.2">
      <c r="A160" s="61" t="s">
        <v>1165</v>
      </c>
      <c r="B160" s="61" t="s">
        <v>1166</v>
      </c>
    </row>
    <row r="161" spans="1:2" x14ac:dyDescent="0.2">
      <c r="A161" s="61" t="s">
        <v>1167</v>
      </c>
      <c r="B161" s="61" t="s">
        <v>1168</v>
      </c>
    </row>
    <row r="162" spans="1:2" x14ac:dyDescent="0.2">
      <c r="A162" s="61" t="s">
        <v>1169</v>
      </c>
      <c r="B162" s="61" t="s">
        <v>1170</v>
      </c>
    </row>
    <row r="163" spans="1:2" x14ac:dyDescent="0.2">
      <c r="A163" s="61" t="s">
        <v>794</v>
      </c>
      <c r="B163" s="61" t="s">
        <v>1171</v>
      </c>
    </row>
    <row r="164" spans="1:2" x14ac:dyDescent="0.2">
      <c r="A164" s="61" t="s">
        <v>809</v>
      </c>
      <c r="B164" s="61" t="s">
        <v>1172</v>
      </c>
    </row>
    <row r="165" spans="1:2" x14ac:dyDescent="0.2">
      <c r="A165" s="61" t="s">
        <v>1173</v>
      </c>
      <c r="B165" s="61" t="s">
        <v>1174</v>
      </c>
    </row>
    <row r="166" spans="1:2" x14ac:dyDescent="0.2">
      <c r="A166" s="61" t="s">
        <v>787</v>
      </c>
      <c r="B166" s="61" t="s">
        <v>1175</v>
      </c>
    </row>
    <row r="167" spans="1:2" x14ac:dyDescent="0.2">
      <c r="A167" s="61" t="s">
        <v>810</v>
      </c>
      <c r="B167" s="61" t="s">
        <v>1176</v>
      </c>
    </row>
    <row r="168" spans="1:2" x14ac:dyDescent="0.2">
      <c r="A168" s="61" t="s">
        <v>829</v>
      </c>
      <c r="B168" s="61" t="s">
        <v>1177</v>
      </c>
    </row>
    <row r="169" spans="1:2" x14ac:dyDescent="0.2">
      <c r="A169" s="61" t="s">
        <v>1178</v>
      </c>
      <c r="B169" s="61" t="s">
        <v>1179</v>
      </c>
    </row>
    <row r="170" spans="1:2" x14ac:dyDescent="0.2">
      <c r="A170" s="61" t="s">
        <v>1180</v>
      </c>
      <c r="B170" s="61" t="s">
        <v>1181</v>
      </c>
    </row>
    <row r="171" spans="1:2" x14ac:dyDescent="0.2">
      <c r="A171" s="61" t="s">
        <v>1182</v>
      </c>
      <c r="B171" s="61" t="s">
        <v>1183</v>
      </c>
    </row>
    <row r="172" spans="1:2" x14ac:dyDescent="0.2">
      <c r="A172" s="61" t="s">
        <v>1184</v>
      </c>
      <c r="B172" s="61" t="s">
        <v>1185</v>
      </c>
    </row>
    <row r="173" spans="1:2" x14ac:dyDescent="0.2">
      <c r="A173" s="61" t="s">
        <v>802</v>
      </c>
      <c r="B173" s="61" t="s">
        <v>1186</v>
      </c>
    </row>
    <row r="174" spans="1:2" x14ac:dyDescent="0.2">
      <c r="A174" s="61" t="s">
        <v>801</v>
      </c>
      <c r="B174" s="61" t="s">
        <v>1187</v>
      </c>
    </row>
    <row r="175" spans="1:2" x14ac:dyDescent="0.2">
      <c r="A175" s="61" t="s">
        <v>806</v>
      </c>
      <c r="B175" s="61" t="s">
        <v>1188</v>
      </c>
    </row>
    <row r="176" spans="1:2" x14ac:dyDescent="0.2">
      <c r="A176" s="61" t="s">
        <v>811</v>
      </c>
      <c r="B176" s="61" t="s">
        <v>1189</v>
      </c>
    </row>
    <row r="177" spans="1:2" x14ac:dyDescent="0.2">
      <c r="A177" s="61" t="s">
        <v>812</v>
      </c>
      <c r="B177" s="61" t="s">
        <v>1190</v>
      </c>
    </row>
    <row r="178" spans="1:2" x14ac:dyDescent="0.2">
      <c r="A178" s="61" t="s">
        <v>793</v>
      </c>
      <c r="B178" s="61" t="s">
        <v>1191</v>
      </c>
    </row>
    <row r="179" spans="1:2" x14ac:dyDescent="0.2">
      <c r="A179" s="61" t="s">
        <v>826</v>
      </c>
      <c r="B179" s="61" t="s">
        <v>1192</v>
      </c>
    </row>
    <row r="180" spans="1:2" x14ac:dyDescent="0.2">
      <c r="A180" s="61" t="s">
        <v>831</v>
      </c>
      <c r="B180" s="61" t="s">
        <v>1193</v>
      </c>
    </row>
    <row r="181" spans="1:2" x14ac:dyDescent="0.2">
      <c r="A181" s="61" t="s">
        <v>827</v>
      </c>
      <c r="B181" s="61" t="s">
        <v>1194</v>
      </c>
    </row>
    <row r="182" spans="1:2" x14ac:dyDescent="0.2">
      <c r="A182" s="61" t="s">
        <v>797</v>
      </c>
      <c r="B182" s="61" t="s">
        <v>1195</v>
      </c>
    </row>
    <row r="183" spans="1:2" x14ac:dyDescent="0.2">
      <c r="A183" s="61" t="s">
        <v>803</v>
      </c>
      <c r="B183" s="61" t="s">
        <v>1196</v>
      </c>
    </row>
    <row r="184" spans="1:2" x14ac:dyDescent="0.2">
      <c r="A184" s="61" t="s">
        <v>1197</v>
      </c>
      <c r="B184" s="61" t="s">
        <v>1198</v>
      </c>
    </row>
    <row r="185" spans="1:2" x14ac:dyDescent="0.2">
      <c r="A185" s="61" t="s">
        <v>1199</v>
      </c>
      <c r="B185" s="61" t="s">
        <v>1200</v>
      </c>
    </row>
    <row r="186" spans="1:2" x14ac:dyDescent="0.2">
      <c r="A186" s="61" t="s">
        <v>1201</v>
      </c>
      <c r="B186" s="61" t="s">
        <v>1202</v>
      </c>
    </row>
    <row r="187" spans="1:2" x14ac:dyDescent="0.2">
      <c r="A187" s="61" t="s">
        <v>1203</v>
      </c>
      <c r="B187" s="61" t="s">
        <v>1204</v>
      </c>
    </row>
    <row r="188" spans="1:2" x14ac:dyDescent="0.2">
      <c r="A188" s="61" t="s">
        <v>716</v>
      </c>
      <c r="B188" s="61" t="s">
        <v>1205</v>
      </c>
    </row>
    <row r="189" spans="1:2" x14ac:dyDescent="0.2">
      <c r="A189" s="61" t="s">
        <v>1206</v>
      </c>
      <c r="B189" s="61" t="s">
        <v>1207</v>
      </c>
    </row>
    <row r="190" spans="1:2" x14ac:dyDescent="0.2">
      <c r="A190" s="61" t="s">
        <v>828</v>
      </c>
      <c r="B190" s="61" t="s">
        <v>1208</v>
      </c>
    </row>
    <row r="191" spans="1:2" x14ac:dyDescent="0.2">
      <c r="A191" s="61" t="s">
        <v>824</v>
      </c>
      <c r="B191" s="61" t="s">
        <v>1209</v>
      </c>
    </row>
    <row r="192" spans="1:2" x14ac:dyDescent="0.2">
      <c r="A192" s="61" t="s">
        <v>1210</v>
      </c>
      <c r="B192" s="61" t="s">
        <v>1211</v>
      </c>
    </row>
    <row r="193" spans="1:2" x14ac:dyDescent="0.2">
      <c r="A193" s="61" t="s">
        <v>1212</v>
      </c>
      <c r="B193" s="61" t="s">
        <v>1213</v>
      </c>
    </row>
    <row r="194" spans="1:2" x14ac:dyDescent="0.2">
      <c r="A194" s="61" t="s">
        <v>796</v>
      </c>
      <c r="B194" s="61" t="s">
        <v>1214</v>
      </c>
    </row>
    <row r="195" spans="1:2" x14ac:dyDescent="0.2">
      <c r="A195" s="61" t="s">
        <v>1215</v>
      </c>
      <c r="B195" s="61" t="s">
        <v>1216</v>
      </c>
    </row>
    <row r="196" spans="1:2" x14ac:dyDescent="0.2">
      <c r="A196" s="61" t="s">
        <v>790</v>
      </c>
      <c r="B196" s="61" t="s">
        <v>1217</v>
      </c>
    </row>
    <row r="197" spans="1:2" x14ac:dyDescent="0.2">
      <c r="A197" s="61" t="s">
        <v>830</v>
      </c>
      <c r="B197" s="61" t="s">
        <v>1218</v>
      </c>
    </row>
    <row r="198" spans="1:2" x14ac:dyDescent="0.2">
      <c r="A198" s="61" t="s">
        <v>1219</v>
      </c>
      <c r="B198" s="61" t="s">
        <v>1220</v>
      </c>
    </row>
    <row r="199" spans="1:2" x14ac:dyDescent="0.2">
      <c r="A199" s="61" t="s">
        <v>1221</v>
      </c>
      <c r="B199" s="61" t="s">
        <v>1222</v>
      </c>
    </row>
    <row r="200" spans="1:2" x14ac:dyDescent="0.2">
      <c r="A200" s="61" t="s">
        <v>1223</v>
      </c>
      <c r="B200" s="61" t="s">
        <v>1224</v>
      </c>
    </row>
    <row r="201" spans="1:2" x14ac:dyDescent="0.2">
      <c r="A201" s="61" t="s">
        <v>1225</v>
      </c>
      <c r="B201" s="61" t="s">
        <v>1226</v>
      </c>
    </row>
    <row r="202" spans="1:2" x14ac:dyDescent="0.2">
      <c r="A202" s="61" t="s">
        <v>1227</v>
      </c>
      <c r="B202" s="61" t="s">
        <v>1228</v>
      </c>
    </row>
    <row r="203" spans="1:2" x14ac:dyDescent="0.2">
      <c r="A203" s="61" t="s">
        <v>813</v>
      </c>
      <c r="B203" s="61" t="s">
        <v>1229</v>
      </c>
    </row>
    <row r="204" spans="1:2" x14ac:dyDescent="0.2">
      <c r="A204" s="61" t="s">
        <v>822</v>
      </c>
      <c r="B204" s="61" t="s">
        <v>1230</v>
      </c>
    </row>
    <row r="205" spans="1:2" x14ac:dyDescent="0.2">
      <c r="A205" s="61" t="s">
        <v>1231</v>
      </c>
      <c r="B205" s="61" t="s">
        <v>1232</v>
      </c>
    </row>
    <row r="206" spans="1:2" x14ac:dyDescent="0.2">
      <c r="A206" s="61" t="s">
        <v>1233</v>
      </c>
      <c r="B206" s="61" t="s">
        <v>1234</v>
      </c>
    </row>
    <row r="207" spans="1:2" x14ac:dyDescent="0.2">
      <c r="A207" s="61" t="s">
        <v>1235</v>
      </c>
      <c r="B207" s="61" t="s">
        <v>1236</v>
      </c>
    </row>
    <row r="208" spans="1:2" x14ac:dyDescent="0.2">
      <c r="A208" s="61" t="s">
        <v>1237</v>
      </c>
      <c r="B208" s="61" t="s">
        <v>1238</v>
      </c>
    </row>
    <row r="209" spans="1:2" x14ac:dyDescent="0.2">
      <c r="A209" s="61" t="s">
        <v>816</v>
      </c>
      <c r="B209" s="61" t="s">
        <v>1239</v>
      </c>
    </row>
    <row r="210" spans="1:2" x14ac:dyDescent="0.2">
      <c r="A210" s="61" t="s">
        <v>833</v>
      </c>
      <c r="B210" s="61" t="s">
        <v>1240</v>
      </c>
    </row>
    <row r="211" spans="1:2" x14ac:dyDescent="0.2">
      <c r="A211" s="61" t="s">
        <v>1241</v>
      </c>
      <c r="B211" s="61" t="s">
        <v>1242</v>
      </c>
    </row>
    <row r="212" spans="1:2" x14ac:dyDescent="0.2">
      <c r="A212" s="61" t="s">
        <v>1243</v>
      </c>
      <c r="B212" s="61" t="s">
        <v>1244</v>
      </c>
    </row>
    <row r="213" spans="1:2" x14ac:dyDescent="0.2">
      <c r="A213" s="61" t="s">
        <v>1245</v>
      </c>
      <c r="B213" s="61" t="s">
        <v>1246</v>
      </c>
    </row>
    <row r="214" spans="1:2" x14ac:dyDescent="0.2">
      <c r="A214" s="61" t="s">
        <v>1247</v>
      </c>
      <c r="B214" s="61" t="s">
        <v>1248</v>
      </c>
    </row>
    <row r="215" spans="1:2" x14ac:dyDescent="0.2">
      <c r="A215" s="61" t="s">
        <v>1249</v>
      </c>
      <c r="B215" s="61" t="s">
        <v>1250</v>
      </c>
    </row>
    <row r="216" spans="1:2" x14ac:dyDescent="0.2">
      <c r="A216" s="61" t="s">
        <v>1251</v>
      </c>
      <c r="B216" s="61" t="s">
        <v>1252</v>
      </c>
    </row>
    <row r="217" spans="1:2" x14ac:dyDescent="0.2">
      <c r="A217" s="61" t="s">
        <v>1253</v>
      </c>
      <c r="B217" s="61" t="s">
        <v>1254</v>
      </c>
    </row>
    <row r="218" spans="1:2" x14ac:dyDescent="0.2">
      <c r="A218" s="61" t="s">
        <v>1255</v>
      </c>
      <c r="B218" s="61" t="s">
        <v>1256</v>
      </c>
    </row>
    <row r="219" spans="1:2" x14ac:dyDescent="0.2">
      <c r="A219" s="61" t="s">
        <v>1257</v>
      </c>
      <c r="B219" s="61" t="s">
        <v>1258</v>
      </c>
    </row>
    <row r="220" spans="1:2" x14ac:dyDescent="0.2">
      <c r="A220" s="61" t="s">
        <v>1259</v>
      </c>
      <c r="B220" s="61" t="s">
        <v>1260</v>
      </c>
    </row>
    <row r="221" spans="1:2" x14ac:dyDescent="0.2">
      <c r="A221" s="61" t="s">
        <v>1261</v>
      </c>
      <c r="B221" s="61" t="s">
        <v>1262</v>
      </c>
    </row>
    <row r="222" spans="1:2" x14ac:dyDescent="0.2">
      <c r="A222" s="61" t="s">
        <v>1263</v>
      </c>
      <c r="B222" s="61" t="s">
        <v>1264</v>
      </c>
    </row>
    <row r="223" spans="1:2" x14ac:dyDescent="0.2">
      <c r="A223" s="61" t="s">
        <v>1265</v>
      </c>
      <c r="B223" s="61" t="s">
        <v>1266</v>
      </c>
    </row>
    <row r="224" spans="1:2" x14ac:dyDescent="0.2">
      <c r="A224" s="61" t="s">
        <v>1267</v>
      </c>
      <c r="B224" s="61" t="s">
        <v>1268</v>
      </c>
    </row>
    <row r="225" spans="1:2" x14ac:dyDescent="0.2">
      <c r="A225" s="61" t="s">
        <v>1269</v>
      </c>
      <c r="B225" s="61" t="s">
        <v>1270</v>
      </c>
    </row>
    <row r="226" spans="1:2" x14ac:dyDescent="0.2">
      <c r="A226" s="61" t="s">
        <v>1271</v>
      </c>
      <c r="B226" s="61" t="s">
        <v>1272</v>
      </c>
    </row>
    <row r="227" spans="1:2" x14ac:dyDescent="0.2">
      <c r="A227" s="61" t="s">
        <v>1273</v>
      </c>
      <c r="B227" s="61" t="s">
        <v>1274</v>
      </c>
    </row>
    <row r="228" spans="1:2" x14ac:dyDescent="0.2">
      <c r="A228" s="61" t="s">
        <v>1275</v>
      </c>
      <c r="B228" s="61" t="s">
        <v>1276</v>
      </c>
    </row>
    <row r="229" spans="1:2" x14ac:dyDescent="0.2">
      <c r="A229" s="61" t="s">
        <v>1277</v>
      </c>
      <c r="B229" s="61" t="s">
        <v>1278</v>
      </c>
    </row>
    <row r="230" spans="1:2" x14ac:dyDescent="0.2">
      <c r="A230" s="61" t="s">
        <v>1279</v>
      </c>
      <c r="B230" s="61" t="s">
        <v>1280</v>
      </c>
    </row>
    <row r="231" spans="1:2" x14ac:dyDescent="0.2">
      <c r="A231" s="61" t="s">
        <v>1281</v>
      </c>
      <c r="B231" s="61" t="s">
        <v>1282</v>
      </c>
    </row>
    <row r="232" spans="1:2" x14ac:dyDescent="0.2">
      <c r="A232" s="61" t="s">
        <v>1283</v>
      </c>
      <c r="B232" s="61" t="s">
        <v>1284</v>
      </c>
    </row>
    <row r="233" spans="1:2" x14ac:dyDescent="0.2">
      <c r="A233" s="61" t="s">
        <v>1285</v>
      </c>
      <c r="B233" s="61" t="s">
        <v>1286</v>
      </c>
    </row>
    <row r="234" spans="1:2" x14ac:dyDescent="0.2">
      <c r="A234" s="61" t="s">
        <v>1287</v>
      </c>
      <c r="B234" s="61" t="s">
        <v>1288</v>
      </c>
    </row>
    <row r="235" spans="1:2" x14ac:dyDescent="0.2">
      <c r="A235" s="61" t="s">
        <v>1289</v>
      </c>
      <c r="B235" s="61" t="s">
        <v>1290</v>
      </c>
    </row>
    <row r="236" spans="1:2" x14ac:dyDescent="0.2">
      <c r="A236" s="61" t="s">
        <v>1291</v>
      </c>
      <c r="B236" s="61" t="s">
        <v>1292</v>
      </c>
    </row>
    <row r="237" spans="1:2" ht="30" x14ac:dyDescent="0.2">
      <c r="A237" s="51" t="s">
        <v>788</v>
      </c>
      <c r="B237" s="60" t="s">
        <v>1293</v>
      </c>
    </row>
    <row r="238" spans="1:2" ht="45" x14ac:dyDescent="0.2">
      <c r="A238" s="51" t="s">
        <v>792</v>
      </c>
      <c r="B238" s="60" t="s">
        <v>1294</v>
      </c>
    </row>
    <row r="239" spans="1:2" ht="30" x14ac:dyDescent="0.2">
      <c r="A239" s="51" t="s">
        <v>795</v>
      </c>
      <c r="B239" s="60" t="s">
        <v>1295</v>
      </c>
    </row>
    <row r="240" spans="1:2" ht="30" x14ac:dyDescent="0.2">
      <c r="A240" s="51" t="s">
        <v>800</v>
      </c>
      <c r="B240" s="60" t="s">
        <v>1296</v>
      </c>
    </row>
    <row r="241" spans="1:2" ht="30" x14ac:dyDescent="0.2">
      <c r="A241" s="51" t="s">
        <v>808</v>
      </c>
      <c r="B241" s="60" t="s">
        <v>1297</v>
      </c>
    </row>
    <row r="242" spans="1:2" ht="45" x14ac:dyDescent="0.2">
      <c r="A242" s="51" t="s">
        <v>814</v>
      </c>
      <c r="B242" s="60" t="s">
        <v>1298</v>
      </c>
    </row>
    <row r="243" spans="1:2" ht="60" x14ac:dyDescent="0.2">
      <c r="A243" s="51" t="s">
        <v>820</v>
      </c>
      <c r="B243" s="60" t="s">
        <v>1299</v>
      </c>
    </row>
    <row r="244" spans="1:2" ht="75" x14ac:dyDescent="0.2">
      <c r="A244" s="51" t="s">
        <v>821</v>
      </c>
      <c r="B244" s="60" t="s">
        <v>1300</v>
      </c>
    </row>
    <row r="245" spans="1:2" ht="30" x14ac:dyDescent="0.2">
      <c r="A245" s="51" t="s">
        <v>832</v>
      </c>
      <c r="B245" s="60" t="s">
        <v>1301</v>
      </c>
    </row>
    <row r="246" spans="1:2" x14ac:dyDescent="0.2">
      <c r="A246" s="51" t="s">
        <v>732</v>
      </c>
      <c r="B246" s="60" t="s">
        <v>1302</v>
      </c>
    </row>
    <row r="247" spans="1:2" x14ac:dyDescent="0.2">
      <c r="A247" s="51" t="s">
        <v>719</v>
      </c>
      <c r="B247" s="60" t="s">
        <v>1303</v>
      </c>
    </row>
    <row r="248" spans="1:2" x14ac:dyDescent="0.2">
      <c r="A248" s="51" t="s">
        <v>754</v>
      </c>
      <c r="B248" s="60" t="s">
        <v>1304</v>
      </c>
    </row>
    <row r="249" spans="1:2" x14ac:dyDescent="0.2">
      <c r="A249" s="51" t="s">
        <v>724</v>
      </c>
      <c r="B249" s="60" t="s">
        <v>1305</v>
      </c>
    </row>
    <row r="250" spans="1:2" x14ac:dyDescent="0.2">
      <c r="A250" s="51" t="s">
        <v>1306</v>
      </c>
      <c r="B250" s="60" t="s">
        <v>1307</v>
      </c>
    </row>
    <row r="251" spans="1:2" x14ac:dyDescent="0.2">
      <c r="A251" s="51" t="s">
        <v>1308</v>
      </c>
      <c r="B251" s="60" t="s">
        <v>1309</v>
      </c>
    </row>
    <row r="252" spans="1:2" x14ac:dyDescent="0.2">
      <c r="A252" s="51" t="s">
        <v>770</v>
      </c>
      <c r="B252" s="60" t="s">
        <v>1310</v>
      </c>
    </row>
    <row r="253" spans="1:2" x14ac:dyDescent="0.2">
      <c r="A253" s="51" t="s">
        <v>780</v>
      </c>
      <c r="B253" s="60" t="s">
        <v>1311</v>
      </c>
    </row>
    <row r="254" spans="1:2" x14ac:dyDescent="0.2">
      <c r="A254" s="51" t="s">
        <v>1312</v>
      </c>
      <c r="B254" s="60" t="s">
        <v>1313</v>
      </c>
    </row>
    <row r="255" spans="1:2" x14ac:dyDescent="0.2">
      <c r="A255" s="51" t="s">
        <v>1314</v>
      </c>
      <c r="B255" s="60" t="s">
        <v>1315</v>
      </c>
    </row>
    <row r="256" spans="1:2" x14ac:dyDescent="0.2">
      <c r="A256" s="51" t="s">
        <v>1316</v>
      </c>
      <c r="B256" s="60" t="s">
        <v>1317</v>
      </c>
    </row>
    <row r="257" spans="1:2" x14ac:dyDescent="0.2">
      <c r="A257" s="51" t="s">
        <v>1318</v>
      </c>
      <c r="B257" s="60" t="s">
        <v>1319</v>
      </c>
    </row>
    <row r="258" spans="1:2" x14ac:dyDescent="0.2">
      <c r="A258" s="51" t="s">
        <v>1320</v>
      </c>
      <c r="B258" s="60" t="s">
        <v>1321</v>
      </c>
    </row>
    <row r="259" spans="1:2" x14ac:dyDescent="0.2">
      <c r="A259" s="51" t="s">
        <v>1322</v>
      </c>
      <c r="B259" s="60" t="s">
        <v>1323</v>
      </c>
    </row>
    <row r="260" spans="1:2" x14ac:dyDescent="0.2">
      <c r="A260" s="51" t="s">
        <v>1324</v>
      </c>
      <c r="B260" s="60" t="s">
        <v>1325</v>
      </c>
    </row>
    <row r="261" spans="1:2" x14ac:dyDescent="0.2">
      <c r="A261" s="51" t="s">
        <v>1326</v>
      </c>
      <c r="B261" s="59" t="s">
        <v>1327</v>
      </c>
    </row>
    <row r="262" spans="1:2" x14ac:dyDescent="0.2">
      <c r="A262" s="51" t="s">
        <v>1328</v>
      </c>
      <c r="B262" s="59" t="s">
        <v>1329</v>
      </c>
    </row>
    <row r="263" spans="1:2" x14ac:dyDescent="0.2">
      <c r="A263" s="51" t="s">
        <v>1330</v>
      </c>
      <c r="B263" s="59" t="s">
        <v>1331</v>
      </c>
    </row>
    <row r="264" spans="1:2" x14ac:dyDescent="0.2">
      <c r="A264" s="51" t="s">
        <v>758</v>
      </c>
      <c r="B264" s="59" t="s">
        <v>1332</v>
      </c>
    </row>
    <row r="265" spans="1:2" x14ac:dyDescent="0.2">
      <c r="A265" s="51" t="s">
        <v>1333</v>
      </c>
      <c r="B265" s="59" t="s">
        <v>1334</v>
      </c>
    </row>
    <row r="266" spans="1:2" x14ac:dyDescent="0.2">
      <c r="A266" s="51" t="s">
        <v>1335</v>
      </c>
      <c r="B266" s="59" t="s">
        <v>1336</v>
      </c>
    </row>
    <row r="267" spans="1:2" x14ac:dyDescent="0.2">
      <c r="A267" s="51" t="s">
        <v>743</v>
      </c>
      <c r="B267" s="59" t="s">
        <v>1337</v>
      </c>
    </row>
    <row r="268" spans="1:2" x14ac:dyDescent="0.2">
      <c r="A268" s="51" t="s">
        <v>768</v>
      </c>
      <c r="B268" s="59" t="s">
        <v>1338</v>
      </c>
    </row>
    <row r="269" spans="1:2" x14ac:dyDescent="0.2">
      <c r="A269" s="51" t="s">
        <v>776</v>
      </c>
      <c r="B269" s="59" t="s">
        <v>1339</v>
      </c>
    </row>
    <row r="270" spans="1:2" x14ac:dyDescent="0.2">
      <c r="A270" s="51" t="s">
        <v>1340</v>
      </c>
      <c r="B270" s="59" t="s">
        <v>1341</v>
      </c>
    </row>
    <row r="271" spans="1:2" x14ac:dyDescent="0.2">
      <c r="A271" s="51" t="s">
        <v>757</v>
      </c>
      <c r="B271" s="59" t="s">
        <v>1342</v>
      </c>
    </row>
    <row r="272" spans="1:2" x14ac:dyDescent="0.2">
      <c r="A272" s="51" t="s">
        <v>783</v>
      </c>
      <c r="B272" s="59" t="s">
        <v>1343</v>
      </c>
    </row>
    <row r="273" spans="1:2" x14ac:dyDescent="0.2">
      <c r="A273" s="51" t="s">
        <v>1344</v>
      </c>
      <c r="B273" s="59" t="s">
        <v>1345</v>
      </c>
    </row>
    <row r="274" spans="1:2" x14ac:dyDescent="0.2">
      <c r="A274" s="51" t="s">
        <v>1346</v>
      </c>
      <c r="B274" s="59" t="s">
        <v>1347</v>
      </c>
    </row>
    <row r="275" spans="1:2" x14ac:dyDescent="0.2">
      <c r="A275" s="51" t="s">
        <v>1348</v>
      </c>
      <c r="B275" s="59" t="s">
        <v>1349</v>
      </c>
    </row>
    <row r="276" spans="1:2" x14ac:dyDescent="0.2">
      <c r="A276" s="51" t="s">
        <v>1350</v>
      </c>
      <c r="B276" s="59" t="s">
        <v>1351</v>
      </c>
    </row>
    <row r="277" spans="1:2" x14ac:dyDescent="0.2">
      <c r="A277" s="51" t="s">
        <v>1352</v>
      </c>
      <c r="B277" s="59" t="s">
        <v>1353</v>
      </c>
    </row>
    <row r="278" spans="1:2" x14ac:dyDescent="0.2">
      <c r="A278" s="51" t="s">
        <v>1354</v>
      </c>
      <c r="B278" s="59" t="s">
        <v>1355</v>
      </c>
    </row>
    <row r="279" spans="1:2" x14ac:dyDescent="0.2">
      <c r="A279" s="51" t="s">
        <v>1356</v>
      </c>
      <c r="B279" s="59" t="s">
        <v>1357</v>
      </c>
    </row>
    <row r="280" spans="1:2" x14ac:dyDescent="0.2">
      <c r="A280" s="51" t="s">
        <v>1358</v>
      </c>
      <c r="B280" s="59" t="s">
        <v>1359</v>
      </c>
    </row>
    <row r="281" spans="1:2" x14ac:dyDescent="0.2">
      <c r="A281" s="51" t="s">
        <v>1360</v>
      </c>
      <c r="B281" s="59" t="s">
        <v>1361</v>
      </c>
    </row>
    <row r="282" spans="1:2" x14ac:dyDescent="0.2">
      <c r="A282" s="51" t="s">
        <v>1362</v>
      </c>
      <c r="B282" s="59" t="s">
        <v>1363</v>
      </c>
    </row>
    <row r="283" spans="1:2" x14ac:dyDescent="0.2">
      <c r="A283" s="51" t="s">
        <v>740</v>
      </c>
      <c r="B283" s="59" t="s">
        <v>1364</v>
      </c>
    </row>
    <row r="284" spans="1:2" x14ac:dyDescent="0.2">
      <c r="A284" s="51" t="s">
        <v>1365</v>
      </c>
      <c r="B284" s="59" t="s">
        <v>1366</v>
      </c>
    </row>
    <row r="285" spans="1:2" x14ac:dyDescent="0.2">
      <c r="A285" s="51" t="s">
        <v>1367</v>
      </c>
      <c r="B285" s="59" t="s">
        <v>1368</v>
      </c>
    </row>
    <row r="286" spans="1:2" x14ac:dyDescent="0.2">
      <c r="A286" s="51" t="s">
        <v>1369</v>
      </c>
      <c r="B286" s="59" t="s">
        <v>1370</v>
      </c>
    </row>
    <row r="287" spans="1:2" x14ac:dyDescent="0.2">
      <c r="A287" s="51" t="s">
        <v>1371</v>
      </c>
      <c r="B287" s="59" t="s">
        <v>1372</v>
      </c>
    </row>
    <row r="288" spans="1:2" x14ac:dyDescent="0.2">
      <c r="A288" s="51" t="s">
        <v>722</v>
      </c>
      <c r="B288" s="59" t="s">
        <v>1373</v>
      </c>
    </row>
    <row r="289" spans="1:2" x14ac:dyDescent="0.2">
      <c r="A289" s="51" t="s">
        <v>729</v>
      </c>
      <c r="B289" s="59" t="s">
        <v>1374</v>
      </c>
    </row>
    <row r="290" spans="1:2" x14ac:dyDescent="0.2">
      <c r="A290" s="51" t="s">
        <v>1375</v>
      </c>
      <c r="B290" s="59" t="s">
        <v>1376</v>
      </c>
    </row>
    <row r="291" spans="1:2" x14ac:dyDescent="0.2">
      <c r="A291" s="51" t="s">
        <v>1377</v>
      </c>
      <c r="B291" s="59" t="s">
        <v>1378</v>
      </c>
    </row>
    <row r="292" spans="1:2" x14ac:dyDescent="0.2">
      <c r="A292" s="51" t="s">
        <v>1379</v>
      </c>
      <c r="B292" s="59" t="s">
        <v>1380</v>
      </c>
    </row>
    <row r="293" spans="1:2" x14ac:dyDescent="0.2">
      <c r="A293" s="51" t="s">
        <v>1381</v>
      </c>
      <c r="B293" s="59" t="s">
        <v>1382</v>
      </c>
    </row>
    <row r="294" spans="1:2" x14ac:dyDescent="0.2">
      <c r="A294" s="51" t="s">
        <v>726</v>
      </c>
      <c r="B294" s="59" t="s">
        <v>1383</v>
      </c>
    </row>
    <row r="295" spans="1:2" x14ac:dyDescent="0.2">
      <c r="A295" s="51" t="s">
        <v>727</v>
      </c>
      <c r="B295" s="59" t="s">
        <v>1384</v>
      </c>
    </row>
    <row r="296" spans="1:2" x14ac:dyDescent="0.2">
      <c r="A296" s="51" t="s">
        <v>1385</v>
      </c>
      <c r="B296" s="59" t="s">
        <v>1386</v>
      </c>
    </row>
    <row r="297" spans="1:2" x14ac:dyDescent="0.2">
      <c r="A297" s="51" t="s">
        <v>779</v>
      </c>
      <c r="B297" s="59" t="s">
        <v>1387</v>
      </c>
    </row>
    <row r="298" spans="1:2" x14ac:dyDescent="0.2">
      <c r="A298" s="51" t="s">
        <v>730</v>
      </c>
      <c r="B298" s="59" t="s">
        <v>1388</v>
      </c>
    </row>
    <row r="299" spans="1:2" x14ac:dyDescent="0.2">
      <c r="A299" s="51" t="s">
        <v>1389</v>
      </c>
      <c r="B299" s="59" t="s">
        <v>1390</v>
      </c>
    </row>
    <row r="300" spans="1:2" x14ac:dyDescent="0.2">
      <c r="A300" s="51" t="s">
        <v>1391</v>
      </c>
      <c r="B300" s="59" t="s">
        <v>1392</v>
      </c>
    </row>
    <row r="301" spans="1:2" x14ac:dyDescent="0.2">
      <c r="A301" s="51" t="s">
        <v>755</v>
      </c>
      <c r="B301" s="59" t="s">
        <v>1393</v>
      </c>
    </row>
    <row r="302" spans="1:2" x14ac:dyDescent="0.2">
      <c r="A302" s="51" t="s">
        <v>1394</v>
      </c>
      <c r="B302" s="59" t="s">
        <v>1395</v>
      </c>
    </row>
    <row r="303" spans="1:2" x14ac:dyDescent="0.2">
      <c r="A303" s="51" t="s">
        <v>1396</v>
      </c>
      <c r="B303" s="59" t="s">
        <v>1397</v>
      </c>
    </row>
    <row r="304" spans="1:2" x14ac:dyDescent="0.2">
      <c r="A304" s="51" t="s">
        <v>1398</v>
      </c>
      <c r="B304" s="59" t="s">
        <v>1399</v>
      </c>
    </row>
    <row r="305" spans="1:2" x14ac:dyDescent="0.2">
      <c r="A305" s="51" t="s">
        <v>1400</v>
      </c>
      <c r="B305" s="59" t="s">
        <v>1401</v>
      </c>
    </row>
    <row r="306" spans="1:2" x14ac:dyDescent="0.2">
      <c r="A306" s="51" t="s">
        <v>1402</v>
      </c>
      <c r="B306" s="59" t="s">
        <v>1403</v>
      </c>
    </row>
    <row r="307" spans="1:2" x14ac:dyDescent="0.2">
      <c r="A307" s="51" t="s">
        <v>1404</v>
      </c>
      <c r="B307" s="59" t="s">
        <v>1405</v>
      </c>
    </row>
    <row r="308" spans="1:2" x14ac:dyDescent="0.2">
      <c r="A308" s="51" t="s">
        <v>1406</v>
      </c>
      <c r="B308" s="59" t="s">
        <v>1407</v>
      </c>
    </row>
    <row r="309" spans="1:2" x14ac:dyDescent="0.2">
      <c r="A309" s="51" t="s">
        <v>745</v>
      </c>
      <c r="B309" s="59" t="s">
        <v>1408</v>
      </c>
    </row>
    <row r="310" spans="1:2" x14ac:dyDescent="0.2">
      <c r="A310" s="51" t="s">
        <v>717</v>
      </c>
      <c r="B310" s="59" t="s">
        <v>1409</v>
      </c>
    </row>
    <row r="311" spans="1:2" x14ac:dyDescent="0.2">
      <c r="A311" s="51" t="s">
        <v>1410</v>
      </c>
      <c r="B311" s="59" t="s">
        <v>1411</v>
      </c>
    </row>
    <row r="312" spans="1:2" x14ac:dyDescent="0.2">
      <c r="A312" s="51" t="s">
        <v>1412</v>
      </c>
      <c r="B312" s="59" t="s">
        <v>1413</v>
      </c>
    </row>
    <row r="313" spans="1:2" x14ac:dyDescent="0.2">
      <c r="A313" s="51" t="s">
        <v>1414</v>
      </c>
      <c r="B313" s="59" t="s">
        <v>1415</v>
      </c>
    </row>
    <row r="314" spans="1:2" x14ac:dyDescent="0.2">
      <c r="A314" s="51" t="s">
        <v>1416</v>
      </c>
      <c r="B314" s="59" t="s">
        <v>1417</v>
      </c>
    </row>
    <row r="315" spans="1:2" x14ac:dyDescent="0.2">
      <c r="A315" s="51" t="s">
        <v>1418</v>
      </c>
      <c r="B315" s="59" t="s">
        <v>1419</v>
      </c>
    </row>
    <row r="316" spans="1:2" x14ac:dyDescent="0.2">
      <c r="A316" s="51" t="s">
        <v>1420</v>
      </c>
      <c r="B316" s="59" t="s">
        <v>1421</v>
      </c>
    </row>
    <row r="317" spans="1:2" x14ac:dyDescent="0.2">
      <c r="A317" s="51" t="s">
        <v>746</v>
      </c>
      <c r="B317" s="59" t="s">
        <v>1422</v>
      </c>
    </row>
    <row r="318" spans="1:2" x14ac:dyDescent="0.2">
      <c r="A318" s="51" t="s">
        <v>767</v>
      </c>
      <c r="B318" s="59" t="s">
        <v>1423</v>
      </c>
    </row>
    <row r="319" spans="1:2" x14ac:dyDescent="0.2">
      <c r="A319" s="51" t="s">
        <v>1424</v>
      </c>
      <c r="B319" s="59" t="s">
        <v>1425</v>
      </c>
    </row>
    <row r="320" spans="1:2" x14ac:dyDescent="0.2">
      <c r="A320" s="51" t="s">
        <v>1426</v>
      </c>
      <c r="B320" s="59" t="s">
        <v>1427</v>
      </c>
    </row>
    <row r="321" spans="1:2" x14ac:dyDescent="0.2">
      <c r="A321" s="51" t="s">
        <v>760</v>
      </c>
      <c r="B321" s="59" t="s">
        <v>1428</v>
      </c>
    </row>
    <row r="322" spans="1:2" x14ac:dyDescent="0.2">
      <c r="A322" s="51" t="s">
        <v>1429</v>
      </c>
      <c r="B322" s="59" t="s">
        <v>1430</v>
      </c>
    </row>
    <row r="323" spans="1:2" x14ac:dyDescent="0.2">
      <c r="A323" s="51" t="s">
        <v>1431</v>
      </c>
      <c r="B323" s="59" t="s">
        <v>1432</v>
      </c>
    </row>
    <row r="324" spans="1:2" x14ac:dyDescent="0.2">
      <c r="A324" s="51" t="s">
        <v>1433</v>
      </c>
      <c r="B324" s="59" t="s">
        <v>1434</v>
      </c>
    </row>
    <row r="325" spans="1:2" x14ac:dyDescent="0.2">
      <c r="A325" s="51" t="s">
        <v>1435</v>
      </c>
      <c r="B325" s="59" t="s">
        <v>1436</v>
      </c>
    </row>
    <row r="326" spans="1:2" x14ac:dyDescent="0.2">
      <c r="A326" s="51" t="s">
        <v>1437</v>
      </c>
      <c r="B326" s="59" t="s">
        <v>1438</v>
      </c>
    </row>
    <row r="327" spans="1:2" x14ac:dyDescent="0.2">
      <c r="A327" s="51" t="s">
        <v>1439</v>
      </c>
      <c r="B327" s="60" t="s">
        <v>1440</v>
      </c>
    </row>
    <row r="328" spans="1:2" x14ac:dyDescent="0.2">
      <c r="A328" s="51" t="s">
        <v>1441</v>
      </c>
      <c r="B328" s="60" t="s">
        <v>1442</v>
      </c>
    </row>
    <row r="329" spans="1:2" x14ac:dyDescent="0.2">
      <c r="A329" s="51" t="s">
        <v>1443</v>
      </c>
      <c r="B329" s="60" t="s">
        <v>1444</v>
      </c>
    </row>
    <row r="330" spans="1:2" x14ac:dyDescent="0.2">
      <c r="A330" s="51" t="s">
        <v>736</v>
      </c>
      <c r="B330" s="60" t="s">
        <v>1445</v>
      </c>
    </row>
    <row r="331" spans="1:2" x14ac:dyDescent="0.2">
      <c r="A331" s="51" t="s">
        <v>1446</v>
      </c>
      <c r="B331" s="60" t="s">
        <v>1447</v>
      </c>
    </row>
    <row r="332" spans="1:2" x14ac:dyDescent="0.2">
      <c r="A332" s="51" t="s">
        <v>1448</v>
      </c>
      <c r="B332" s="60" t="s">
        <v>1449</v>
      </c>
    </row>
    <row r="333" spans="1:2" x14ac:dyDescent="0.2">
      <c r="A333" s="51" t="s">
        <v>1450</v>
      </c>
      <c r="B333" s="60" t="s">
        <v>1451</v>
      </c>
    </row>
    <row r="334" spans="1:2" x14ac:dyDescent="0.2">
      <c r="A334" s="51" t="s">
        <v>764</v>
      </c>
      <c r="B334" s="60" t="s">
        <v>1452</v>
      </c>
    </row>
    <row r="335" spans="1:2" x14ac:dyDescent="0.2">
      <c r="A335" s="51" t="s">
        <v>1453</v>
      </c>
      <c r="B335" s="60" t="s">
        <v>1454</v>
      </c>
    </row>
    <row r="336" spans="1:2" x14ac:dyDescent="0.2">
      <c r="A336" s="51" t="s">
        <v>1455</v>
      </c>
      <c r="B336" s="60" t="s">
        <v>1456</v>
      </c>
    </row>
    <row r="337" spans="1:2" x14ac:dyDescent="0.2">
      <c r="A337" s="51" t="s">
        <v>1457</v>
      </c>
      <c r="B337" s="60" t="s">
        <v>1458</v>
      </c>
    </row>
    <row r="338" spans="1:2" x14ac:dyDescent="0.2">
      <c r="A338" s="51" t="s">
        <v>1459</v>
      </c>
      <c r="B338" s="60" t="s">
        <v>1460</v>
      </c>
    </row>
    <row r="339" spans="1:2" x14ac:dyDescent="0.2">
      <c r="A339" s="51" t="s">
        <v>1461</v>
      </c>
      <c r="B339" s="60" t="s">
        <v>1462</v>
      </c>
    </row>
    <row r="340" spans="1:2" x14ac:dyDescent="0.2">
      <c r="A340" s="51" t="s">
        <v>1463</v>
      </c>
      <c r="B340" s="60" t="s">
        <v>1464</v>
      </c>
    </row>
    <row r="341" spans="1:2" x14ac:dyDescent="0.2">
      <c r="A341" s="51" t="s">
        <v>1465</v>
      </c>
      <c r="B341" s="60" t="s">
        <v>1466</v>
      </c>
    </row>
    <row r="342" spans="1:2" x14ac:dyDescent="0.2">
      <c r="A342" s="51" t="s">
        <v>747</v>
      </c>
      <c r="B342" s="60" t="s">
        <v>1467</v>
      </c>
    </row>
    <row r="343" spans="1:2" x14ac:dyDescent="0.2">
      <c r="A343" s="51" t="s">
        <v>1468</v>
      </c>
      <c r="B343" s="60" t="s">
        <v>1469</v>
      </c>
    </row>
    <row r="344" spans="1:2" x14ac:dyDescent="0.2">
      <c r="A344" s="51" t="s">
        <v>1470</v>
      </c>
      <c r="B344" s="60" t="s">
        <v>1471</v>
      </c>
    </row>
    <row r="345" spans="1:2" x14ac:dyDescent="0.2">
      <c r="A345" s="51" t="s">
        <v>772</v>
      </c>
      <c r="B345" s="60" t="s">
        <v>1472</v>
      </c>
    </row>
    <row r="346" spans="1:2" x14ac:dyDescent="0.2">
      <c r="A346" s="51" t="s">
        <v>1473</v>
      </c>
      <c r="B346" s="60" t="s">
        <v>1474</v>
      </c>
    </row>
    <row r="347" spans="1:2" x14ac:dyDescent="0.2">
      <c r="A347" s="51" t="s">
        <v>1475</v>
      </c>
      <c r="B347" s="60" t="s">
        <v>1476</v>
      </c>
    </row>
    <row r="348" spans="1:2" x14ac:dyDescent="0.2">
      <c r="A348" s="51" t="s">
        <v>1477</v>
      </c>
      <c r="B348" s="60" t="s">
        <v>1478</v>
      </c>
    </row>
    <row r="349" spans="1:2" x14ac:dyDescent="0.2">
      <c r="A349" s="51" t="s">
        <v>1479</v>
      </c>
      <c r="B349" s="60" t="s">
        <v>1480</v>
      </c>
    </row>
    <row r="350" spans="1:2" x14ac:dyDescent="0.2">
      <c r="A350" s="51" t="s">
        <v>1481</v>
      </c>
      <c r="B350" s="60" t="s">
        <v>1482</v>
      </c>
    </row>
    <row r="351" spans="1:2" x14ac:dyDescent="0.2">
      <c r="A351" s="51" t="s">
        <v>1483</v>
      </c>
      <c r="B351" s="60" t="s">
        <v>1484</v>
      </c>
    </row>
    <row r="352" spans="1:2" x14ac:dyDescent="0.2">
      <c r="A352" s="51" t="s">
        <v>741</v>
      </c>
      <c r="B352" s="60" t="s">
        <v>1485</v>
      </c>
    </row>
    <row r="353" spans="1:2" x14ac:dyDescent="0.2">
      <c r="A353" s="51" t="s">
        <v>1486</v>
      </c>
      <c r="B353" s="60" t="s">
        <v>1487</v>
      </c>
    </row>
    <row r="354" spans="1:2" x14ac:dyDescent="0.2">
      <c r="A354" s="51" t="s">
        <v>1488</v>
      </c>
      <c r="B354" s="60" t="s">
        <v>1489</v>
      </c>
    </row>
    <row r="355" spans="1:2" x14ac:dyDescent="0.2">
      <c r="A355" s="51" t="s">
        <v>1490</v>
      </c>
      <c r="B355" s="59" t="s">
        <v>1491</v>
      </c>
    </row>
    <row r="356" spans="1:2" ht="42.75" x14ac:dyDescent="0.2">
      <c r="A356" s="53" t="s">
        <v>721</v>
      </c>
      <c r="B356" s="60" t="s">
        <v>1492</v>
      </c>
    </row>
    <row r="357" spans="1:2" ht="142.5" x14ac:dyDescent="0.2">
      <c r="A357" s="53" t="s">
        <v>723</v>
      </c>
      <c r="B357" s="60" t="s">
        <v>1493</v>
      </c>
    </row>
    <row r="358" spans="1:2" ht="142.5" x14ac:dyDescent="0.2">
      <c r="A358" s="53" t="s">
        <v>734</v>
      </c>
      <c r="B358" s="60" t="s">
        <v>1494</v>
      </c>
    </row>
    <row r="359" spans="1:2" ht="30" x14ac:dyDescent="0.2">
      <c r="A359" s="51" t="s">
        <v>738</v>
      </c>
      <c r="B359" s="60" t="s">
        <v>1495</v>
      </c>
    </row>
    <row r="360" spans="1:2" ht="28.5" x14ac:dyDescent="0.2">
      <c r="A360" s="53" t="s">
        <v>742</v>
      </c>
      <c r="B360" s="60" t="s">
        <v>1496</v>
      </c>
    </row>
    <row r="361" spans="1:2" ht="30" x14ac:dyDescent="0.2">
      <c r="A361" s="51" t="s">
        <v>744</v>
      </c>
      <c r="B361" s="60" t="s">
        <v>1497</v>
      </c>
    </row>
    <row r="362" spans="1:2" ht="45" x14ac:dyDescent="0.2">
      <c r="A362" s="51" t="s">
        <v>750</v>
      </c>
      <c r="B362" s="60" t="s">
        <v>1498</v>
      </c>
    </row>
    <row r="363" spans="1:2" ht="30" x14ac:dyDescent="0.2">
      <c r="A363" s="51" t="s">
        <v>752</v>
      </c>
      <c r="B363" s="60" t="s">
        <v>1499</v>
      </c>
    </row>
    <row r="364" spans="1:2" ht="45" x14ac:dyDescent="0.2">
      <c r="A364" s="51" t="s">
        <v>756</v>
      </c>
      <c r="B364" s="60" t="s">
        <v>1500</v>
      </c>
    </row>
    <row r="365" spans="1:2" ht="85.5" x14ac:dyDescent="0.2">
      <c r="A365" s="53" t="s">
        <v>759</v>
      </c>
      <c r="B365" s="60" t="s">
        <v>1501</v>
      </c>
    </row>
    <row r="366" spans="1:2" ht="42.75" x14ac:dyDescent="0.2">
      <c r="A366" s="53" t="s">
        <v>761</v>
      </c>
      <c r="B366" s="60" t="s">
        <v>1502</v>
      </c>
    </row>
    <row r="367" spans="1:2" ht="30" x14ac:dyDescent="0.2">
      <c r="A367" s="51" t="s">
        <v>763</v>
      </c>
      <c r="B367" s="60" t="s">
        <v>1503</v>
      </c>
    </row>
    <row r="368" spans="1:2" ht="30" x14ac:dyDescent="0.2">
      <c r="A368" s="51" t="s">
        <v>765</v>
      </c>
      <c r="B368" s="60" t="s">
        <v>1504</v>
      </c>
    </row>
    <row r="369" spans="1:2" ht="42.75" x14ac:dyDescent="0.2">
      <c r="A369" s="53" t="s">
        <v>773</v>
      </c>
      <c r="B369" s="60" t="s">
        <v>1505</v>
      </c>
    </row>
    <row r="370" spans="1:2" ht="42.75" x14ac:dyDescent="0.2">
      <c r="A370" s="53" t="s">
        <v>774</v>
      </c>
      <c r="B370" s="60" t="s">
        <v>1506</v>
      </c>
    </row>
    <row r="371" spans="1:2" x14ac:dyDescent="0.2">
      <c r="A371" s="62" t="s">
        <v>1507</v>
      </c>
      <c r="B371" s="68" t="s">
        <v>1508</v>
      </c>
    </row>
    <row r="372" spans="1:2" x14ac:dyDescent="0.2">
      <c r="A372" s="62" t="s">
        <v>1509</v>
      </c>
      <c r="B372" s="68" t="s">
        <v>1510</v>
      </c>
    </row>
    <row r="373" spans="1:2" x14ac:dyDescent="0.2">
      <c r="A373" s="62" t="s">
        <v>1511</v>
      </c>
      <c r="B373" s="68" t="s">
        <v>1512</v>
      </c>
    </row>
    <row r="374" spans="1:2" x14ac:dyDescent="0.2">
      <c r="A374" s="62" t="s">
        <v>1513</v>
      </c>
      <c r="B374" s="68" t="s">
        <v>1514</v>
      </c>
    </row>
    <row r="375" spans="1:2" x14ac:dyDescent="0.2">
      <c r="A375" s="62" t="s">
        <v>1515</v>
      </c>
      <c r="B375" s="68" t="s">
        <v>1516</v>
      </c>
    </row>
    <row r="376" spans="1:2" x14ac:dyDescent="0.2">
      <c r="A376" s="62" t="s">
        <v>1517</v>
      </c>
      <c r="B376" s="68" t="s">
        <v>1518</v>
      </c>
    </row>
    <row r="377" spans="1:2" x14ac:dyDescent="0.2">
      <c r="A377" s="63" t="s">
        <v>1519</v>
      </c>
      <c r="B377" s="67" t="s">
        <v>1520</v>
      </c>
    </row>
    <row r="378" spans="1:2" x14ac:dyDescent="0.2">
      <c r="A378" s="62" t="s">
        <v>1521</v>
      </c>
      <c r="B378" s="68" t="s">
        <v>1522</v>
      </c>
    </row>
    <row r="379" spans="1:2" x14ac:dyDescent="0.2">
      <c r="A379" s="62" t="s">
        <v>1523</v>
      </c>
      <c r="B379" s="68" t="s">
        <v>1524</v>
      </c>
    </row>
    <row r="380" spans="1:2" x14ac:dyDescent="0.2">
      <c r="A380" s="62" t="s">
        <v>1525</v>
      </c>
      <c r="B380" s="68" t="s">
        <v>1526</v>
      </c>
    </row>
    <row r="381" spans="1:2" x14ac:dyDescent="0.2">
      <c r="A381" s="62" t="s">
        <v>1527</v>
      </c>
      <c r="B381" s="68" t="s">
        <v>1528</v>
      </c>
    </row>
    <row r="382" spans="1:2" x14ac:dyDescent="0.2">
      <c r="A382" s="62" t="s">
        <v>1529</v>
      </c>
      <c r="B382" s="68" t="s">
        <v>1530</v>
      </c>
    </row>
    <row r="383" spans="1:2" x14ac:dyDescent="0.2">
      <c r="A383" s="62" t="s">
        <v>1531</v>
      </c>
      <c r="B383" s="68" t="s">
        <v>1532</v>
      </c>
    </row>
    <row r="384" spans="1:2" x14ac:dyDescent="0.2">
      <c r="A384" s="62" t="s">
        <v>1533</v>
      </c>
      <c r="B384" s="68" t="s">
        <v>1534</v>
      </c>
    </row>
    <row r="385" spans="1:2" x14ac:dyDescent="0.2">
      <c r="A385" s="62" t="s">
        <v>1535</v>
      </c>
      <c r="B385" s="69" t="s">
        <v>1536</v>
      </c>
    </row>
    <row r="386" spans="1:2" x14ac:dyDescent="0.2">
      <c r="A386" s="62" t="s">
        <v>1537</v>
      </c>
      <c r="B386" s="68" t="s">
        <v>1534</v>
      </c>
    </row>
    <row r="387" spans="1:2" x14ac:dyDescent="0.2">
      <c r="A387" s="62" t="s">
        <v>1538</v>
      </c>
      <c r="B387" s="68" t="s">
        <v>1539</v>
      </c>
    </row>
    <row r="388" spans="1:2" x14ac:dyDescent="0.2">
      <c r="A388" s="62" t="s">
        <v>1540</v>
      </c>
      <c r="B388" s="68" t="s">
        <v>1541</v>
      </c>
    </row>
    <row r="389" spans="1:2" x14ac:dyDescent="0.2">
      <c r="A389" s="62" t="s">
        <v>1542</v>
      </c>
      <c r="B389" s="68" t="s">
        <v>1543</v>
      </c>
    </row>
    <row r="390" spans="1:2" x14ac:dyDescent="0.2">
      <c r="A390" s="62" t="s">
        <v>1544</v>
      </c>
      <c r="B390" s="68" t="s">
        <v>1545</v>
      </c>
    </row>
    <row r="391" spans="1:2" x14ac:dyDescent="0.2">
      <c r="A391" s="62" t="s">
        <v>881</v>
      </c>
      <c r="B391" s="68" t="s">
        <v>1546</v>
      </c>
    </row>
    <row r="392" spans="1:2" x14ac:dyDescent="0.2">
      <c r="A392" s="62" t="s">
        <v>1547</v>
      </c>
      <c r="B392" s="68" t="s">
        <v>1548</v>
      </c>
    </row>
    <row r="393" spans="1:2" x14ac:dyDescent="0.2">
      <c r="A393" s="62" t="s">
        <v>1549</v>
      </c>
      <c r="B393" s="68" t="s">
        <v>1550</v>
      </c>
    </row>
    <row r="394" spans="1:2" x14ac:dyDescent="0.2">
      <c r="A394" s="62" t="s">
        <v>1551</v>
      </c>
      <c r="B394" s="68" t="s">
        <v>1552</v>
      </c>
    </row>
    <row r="395" spans="1:2" x14ac:dyDescent="0.2">
      <c r="A395" s="62" t="s">
        <v>1553</v>
      </c>
      <c r="B395" s="68" t="s">
        <v>1554</v>
      </c>
    </row>
    <row r="396" spans="1:2" x14ac:dyDescent="0.2">
      <c r="A396" s="62" t="s">
        <v>1555</v>
      </c>
      <c r="B396" s="68" t="s">
        <v>1556</v>
      </c>
    </row>
    <row r="397" spans="1:2" x14ac:dyDescent="0.2">
      <c r="A397" s="62" t="s">
        <v>1557</v>
      </c>
      <c r="B397" s="68" t="s">
        <v>1558</v>
      </c>
    </row>
    <row r="398" spans="1:2" x14ac:dyDescent="0.2">
      <c r="A398" s="62" t="s">
        <v>1559</v>
      </c>
      <c r="B398" s="69" t="s">
        <v>1560</v>
      </c>
    </row>
    <row r="399" spans="1:2" x14ac:dyDescent="0.2">
      <c r="A399" s="62" t="s">
        <v>1561</v>
      </c>
      <c r="B399" s="68" t="s">
        <v>1562</v>
      </c>
    </row>
    <row r="400" spans="1:2" x14ac:dyDescent="0.2">
      <c r="A400" s="62" t="s">
        <v>1563</v>
      </c>
      <c r="B400" s="68" t="s">
        <v>1564</v>
      </c>
    </row>
    <row r="401" spans="1:2" x14ac:dyDescent="0.2">
      <c r="A401" s="62" t="s">
        <v>1565</v>
      </c>
      <c r="B401" s="68" t="s">
        <v>1566</v>
      </c>
    </row>
    <row r="402" spans="1:2" x14ac:dyDescent="0.2">
      <c r="A402" s="62" t="s">
        <v>1567</v>
      </c>
      <c r="B402" s="68" t="s">
        <v>1534</v>
      </c>
    </row>
    <row r="403" spans="1:2" x14ac:dyDescent="0.2">
      <c r="A403" s="62" t="s">
        <v>1568</v>
      </c>
      <c r="B403" s="69" t="s">
        <v>1569</v>
      </c>
    </row>
    <row r="404" spans="1:2" x14ac:dyDescent="0.2">
      <c r="A404" s="62" t="s">
        <v>1570</v>
      </c>
      <c r="B404" s="68" t="s">
        <v>1571</v>
      </c>
    </row>
    <row r="405" spans="1:2" x14ac:dyDescent="0.2">
      <c r="A405" s="63" t="s">
        <v>1572</v>
      </c>
      <c r="B405" s="67" t="s">
        <v>1573</v>
      </c>
    </row>
    <row r="406" spans="1:2" x14ac:dyDescent="0.2">
      <c r="A406" s="62" t="s">
        <v>1574</v>
      </c>
      <c r="B406" s="68" t="s">
        <v>1575</v>
      </c>
    </row>
    <row r="407" spans="1:2" x14ac:dyDescent="0.2">
      <c r="A407" s="62" t="s">
        <v>1576</v>
      </c>
      <c r="B407" s="68" t="s">
        <v>1577</v>
      </c>
    </row>
    <row r="408" spans="1:2" x14ac:dyDescent="0.2">
      <c r="A408" s="62" t="s">
        <v>1578</v>
      </c>
      <c r="B408" s="68" t="s">
        <v>1579</v>
      </c>
    </row>
    <row r="409" spans="1:2" x14ac:dyDescent="0.2">
      <c r="A409" s="62" t="s">
        <v>1580</v>
      </c>
      <c r="B409" s="68" t="s">
        <v>1581</v>
      </c>
    </row>
    <row r="410" spans="1:2" x14ac:dyDescent="0.2">
      <c r="A410" s="62" t="s">
        <v>1582</v>
      </c>
      <c r="B410" s="68" t="s">
        <v>1583</v>
      </c>
    </row>
    <row r="411" spans="1:2" x14ac:dyDescent="0.2">
      <c r="A411" s="62" t="s">
        <v>1584</v>
      </c>
      <c r="B411" s="68" t="s">
        <v>1585</v>
      </c>
    </row>
    <row r="412" spans="1:2" x14ac:dyDescent="0.2">
      <c r="A412" s="62" t="s">
        <v>1586</v>
      </c>
      <c r="B412" s="68" t="s">
        <v>1587</v>
      </c>
    </row>
    <row r="413" spans="1:2" x14ac:dyDescent="0.2">
      <c r="A413" s="62" t="s">
        <v>1588</v>
      </c>
      <c r="B413" s="68" t="s">
        <v>1589</v>
      </c>
    </row>
    <row r="414" spans="1:2" x14ac:dyDescent="0.2">
      <c r="A414" s="62" t="s">
        <v>1590</v>
      </c>
      <c r="B414" s="68" t="s">
        <v>1591</v>
      </c>
    </row>
    <row r="415" spans="1:2" x14ac:dyDescent="0.2">
      <c r="A415" s="62" t="s">
        <v>1592</v>
      </c>
      <c r="B415" s="68" t="s">
        <v>1593</v>
      </c>
    </row>
    <row r="416" spans="1:2" x14ac:dyDescent="0.2">
      <c r="A416" s="62" t="s">
        <v>1594</v>
      </c>
      <c r="B416" s="68" t="s">
        <v>1595</v>
      </c>
    </row>
    <row r="417" spans="1:2" x14ac:dyDescent="0.2">
      <c r="A417" s="62" t="s">
        <v>1596</v>
      </c>
      <c r="B417" s="68" t="s">
        <v>1597</v>
      </c>
    </row>
    <row r="418" spans="1:2" x14ac:dyDescent="0.2">
      <c r="A418" s="62" t="s">
        <v>1598</v>
      </c>
      <c r="B418" s="68" t="s">
        <v>1599</v>
      </c>
    </row>
    <row r="419" spans="1:2" x14ac:dyDescent="0.2">
      <c r="A419" s="62" t="s">
        <v>1600</v>
      </c>
      <c r="B419" s="68" t="s">
        <v>1601</v>
      </c>
    </row>
    <row r="420" spans="1:2" x14ac:dyDescent="0.2">
      <c r="A420" s="62" t="s">
        <v>1602</v>
      </c>
      <c r="B420" s="69" t="s">
        <v>1603</v>
      </c>
    </row>
    <row r="421" spans="1:2" x14ac:dyDescent="0.2">
      <c r="A421" s="62" t="s">
        <v>1604</v>
      </c>
      <c r="B421" s="68" t="s">
        <v>1605</v>
      </c>
    </row>
    <row r="422" spans="1:2" x14ac:dyDescent="0.2">
      <c r="A422" s="62" t="s">
        <v>1606</v>
      </c>
      <c r="B422" s="68" t="s">
        <v>1607</v>
      </c>
    </row>
    <row r="423" spans="1:2" x14ac:dyDescent="0.2">
      <c r="A423" s="62" t="s">
        <v>1608</v>
      </c>
      <c r="B423" s="68" t="s">
        <v>1534</v>
      </c>
    </row>
    <row r="424" spans="1:2" x14ac:dyDescent="0.2">
      <c r="A424" s="62" t="s">
        <v>1609</v>
      </c>
      <c r="B424" s="68" t="s">
        <v>1610</v>
      </c>
    </row>
    <row r="425" spans="1:2" x14ac:dyDescent="0.2">
      <c r="A425" s="62" t="s">
        <v>1611</v>
      </c>
      <c r="B425" s="68" t="s">
        <v>1612</v>
      </c>
    </row>
    <row r="426" spans="1:2" x14ac:dyDescent="0.2">
      <c r="A426" s="62" t="s">
        <v>1613</v>
      </c>
      <c r="B426" s="68" t="s">
        <v>1614</v>
      </c>
    </row>
    <row r="427" spans="1:2" x14ac:dyDescent="0.2">
      <c r="A427" s="62" t="s">
        <v>1615</v>
      </c>
      <c r="B427" s="68" t="s">
        <v>1616</v>
      </c>
    </row>
    <row r="428" spans="1:2" x14ac:dyDescent="0.2">
      <c r="A428" s="62" t="s">
        <v>1617</v>
      </c>
      <c r="B428" s="68" t="s">
        <v>1618</v>
      </c>
    </row>
    <row r="429" spans="1:2" x14ac:dyDescent="0.2">
      <c r="A429" s="62" t="s">
        <v>1619</v>
      </c>
      <c r="B429" s="69" t="s">
        <v>1620</v>
      </c>
    </row>
    <row r="430" spans="1:2" x14ac:dyDescent="0.2">
      <c r="A430" s="62" t="s">
        <v>1621</v>
      </c>
      <c r="B430" s="68" t="s">
        <v>1622</v>
      </c>
    </row>
    <row r="431" spans="1:2" x14ac:dyDescent="0.2">
      <c r="A431" s="62" t="s">
        <v>1623</v>
      </c>
      <c r="B431" s="68" t="s">
        <v>1624</v>
      </c>
    </row>
    <row r="432" spans="1:2" x14ac:dyDescent="0.2">
      <c r="A432" s="62" t="s">
        <v>1625</v>
      </c>
      <c r="B432" s="68" t="s">
        <v>1626</v>
      </c>
    </row>
    <row r="433" spans="1:2" x14ac:dyDescent="0.2">
      <c r="A433" s="62" t="s">
        <v>1627</v>
      </c>
      <c r="B433" s="68" t="s">
        <v>1628</v>
      </c>
    </row>
    <row r="434" spans="1:2" x14ac:dyDescent="0.2">
      <c r="A434" s="62" t="s">
        <v>1629</v>
      </c>
      <c r="B434" s="68" t="s">
        <v>1630</v>
      </c>
    </row>
    <row r="435" spans="1:2" x14ac:dyDescent="0.2">
      <c r="A435" s="62" t="s">
        <v>1631</v>
      </c>
      <c r="B435" s="68" t="s">
        <v>1632</v>
      </c>
    </row>
    <row r="436" spans="1:2" x14ac:dyDescent="0.2">
      <c r="A436" s="62" t="s">
        <v>1633</v>
      </c>
      <c r="B436" s="68" t="s">
        <v>1634</v>
      </c>
    </row>
    <row r="437" spans="1:2" x14ac:dyDescent="0.2">
      <c r="A437" s="62" t="s">
        <v>1635</v>
      </c>
      <c r="B437" s="68" t="s">
        <v>1636</v>
      </c>
    </row>
    <row r="438" spans="1:2" x14ac:dyDescent="0.2">
      <c r="A438" s="62" t="s">
        <v>1637</v>
      </c>
      <c r="B438" s="68" t="s">
        <v>1638</v>
      </c>
    </row>
    <row r="439" spans="1:2" x14ac:dyDescent="0.2">
      <c r="A439" s="62" t="s">
        <v>1639</v>
      </c>
      <c r="B439" s="68" t="s">
        <v>1640</v>
      </c>
    </row>
    <row r="440" spans="1:2" x14ac:dyDescent="0.2">
      <c r="A440" s="62" t="s">
        <v>1641</v>
      </c>
      <c r="B440" s="69" t="s">
        <v>1642</v>
      </c>
    </row>
    <row r="441" spans="1:2" x14ac:dyDescent="0.2">
      <c r="A441" s="62" t="s">
        <v>1643</v>
      </c>
      <c r="B441" s="68" t="s">
        <v>1644</v>
      </c>
    </row>
    <row r="442" spans="1:2" x14ac:dyDescent="0.2">
      <c r="A442" s="62" t="s">
        <v>1645</v>
      </c>
      <c r="B442" s="68" t="s">
        <v>1646</v>
      </c>
    </row>
    <row r="443" spans="1:2" x14ac:dyDescent="0.2">
      <c r="A443" s="62" t="s">
        <v>1647</v>
      </c>
      <c r="B443" s="68" t="s">
        <v>1648</v>
      </c>
    </row>
    <row r="444" spans="1:2" x14ac:dyDescent="0.2">
      <c r="A444" s="62" t="s">
        <v>1649</v>
      </c>
      <c r="B444" s="68" t="s">
        <v>1534</v>
      </c>
    </row>
    <row r="445" spans="1:2" x14ac:dyDescent="0.2">
      <c r="A445" s="62" t="s">
        <v>1650</v>
      </c>
      <c r="B445" s="68" t="s">
        <v>1651</v>
      </c>
    </row>
    <row r="446" spans="1:2" x14ac:dyDescent="0.2">
      <c r="A446" s="62" t="s">
        <v>1652</v>
      </c>
      <c r="B446" s="68" t="s">
        <v>1653</v>
      </c>
    </row>
    <row r="447" spans="1:2" x14ac:dyDescent="0.2">
      <c r="A447" s="62" t="s">
        <v>1654</v>
      </c>
      <c r="B447" s="68" t="s">
        <v>1655</v>
      </c>
    </row>
    <row r="448" spans="1:2" x14ac:dyDescent="0.2">
      <c r="A448" s="62" t="s">
        <v>1656</v>
      </c>
      <c r="B448" s="68" t="s">
        <v>1657</v>
      </c>
    </row>
    <row r="449" spans="1:2" x14ac:dyDescent="0.2">
      <c r="A449" s="62" t="s">
        <v>1658</v>
      </c>
      <c r="B449" s="69" t="s">
        <v>1659</v>
      </c>
    </row>
    <row r="450" spans="1:2" x14ac:dyDescent="0.2">
      <c r="A450" s="62" t="s">
        <v>1660</v>
      </c>
      <c r="B450" s="68" t="s">
        <v>1661</v>
      </c>
    </row>
    <row r="451" spans="1:2" x14ac:dyDescent="0.2">
      <c r="A451" s="62" t="s">
        <v>1662</v>
      </c>
      <c r="B451" s="68" t="s">
        <v>1663</v>
      </c>
    </row>
    <row r="452" spans="1:2" x14ac:dyDescent="0.2">
      <c r="A452" s="62" t="s">
        <v>1664</v>
      </c>
      <c r="B452" s="68" t="s">
        <v>1665</v>
      </c>
    </row>
    <row r="453" spans="1:2" x14ac:dyDescent="0.2">
      <c r="A453" s="62" t="s">
        <v>1666</v>
      </c>
      <c r="B453" s="69" t="s">
        <v>1667</v>
      </c>
    </row>
    <row r="454" spans="1:2" x14ac:dyDescent="0.2">
      <c r="A454" s="62" t="s">
        <v>1668</v>
      </c>
      <c r="B454" s="69" t="s">
        <v>1669</v>
      </c>
    </row>
    <row r="455" spans="1:2" x14ac:dyDescent="0.2">
      <c r="A455" s="62" t="s">
        <v>1670</v>
      </c>
      <c r="B455" s="68" t="s">
        <v>1671</v>
      </c>
    </row>
    <row r="456" spans="1:2" x14ac:dyDescent="0.2">
      <c r="A456" s="62" t="s">
        <v>1672</v>
      </c>
      <c r="B456" s="68" t="s">
        <v>1673</v>
      </c>
    </row>
    <row r="457" spans="1:2" x14ac:dyDescent="0.2">
      <c r="A457" s="62" t="s">
        <v>1674</v>
      </c>
      <c r="B457" s="68" t="s">
        <v>1675</v>
      </c>
    </row>
    <row r="458" spans="1:2" x14ac:dyDescent="0.2">
      <c r="A458" s="66" t="s">
        <v>855</v>
      </c>
      <c r="B458" s="65" t="s">
        <v>1676</v>
      </c>
    </row>
    <row r="459" spans="1:2" x14ac:dyDescent="0.2">
      <c r="A459" s="62" t="s">
        <v>1677</v>
      </c>
      <c r="B459" s="68" t="s">
        <v>1678</v>
      </c>
    </row>
    <row r="460" spans="1:2" x14ac:dyDescent="0.2">
      <c r="A460" s="62" t="s">
        <v>1679</v>
      </c>
      <c r="B460" s="68" t="s">
        <v>1680</v>
      </c>
    </row>
    <row r="461" spans="1:2" x14ac:dyDescent="0.2">
      <c r="A461" s="62" t="s">
        <v>1681</v>
      </c>
      <c r="B461" s="68" t="s">
        <v>1682</v>
      </c>
    </row>
    <row r="462" spans="1:2" x14ac:dyDescent="0.2">
      <c r="A462" s="62" t="s">
        <v>1683</v>
      </c>
      <c r="B462" s="68" t="s">
        <v>1684</v>
      </c>
    </row>
    <row r="463" spans="1:2" x14ac:dyDescent="0.2">
      <c r="A463" s="62" t="s">
        <v>1685</v>
      </c>
      <c r="B463" s="68" t="s">
        <v>1686</v>
      </c>
    </row>
    <row r="464" spans="1:2" x14ac:dyDescent="0.2">
      <c r="A464" s="62" t="s">
        <v>1687</v>
      </c>
      <c r="B464" s="68" t="s">
        <v>1688</v>
      </c>
    </row>
    <row r="465" spans="1:2" x14ac:dyDescent="0.2">
      <c r="A465" s="62" t="s">
        <v>1689</v>
      </c>
      <c r="B465" s="68" t="s">
        <v>1690</v>
      </c>
    </row>
    <row r="466" spans="1:2" x14ac:dyDescent="0.2">
      <c r="A466" s="62" t="s">
        <v>1691</v>
      </c>
      <c r="B466" s="68" t="s">
        <v>1692</v>
      </c>
    </row>
    <row r="467" spans="1:2" x14ac:dyDescent="0.2">
      <c r="A467" s="62" t="s">
        <v>1693</v>
      </c>
      <c r="B467" s="68" t="s">
        <v>1694</v>
      </c>
    </row>
    <row r="468" spans="1:2" x14ac:dyDescent="0.2">
      <c r="A468" s="62" t="s">
        <v>1695</v>
      </c>
      <c r="B468" s="68" t="s">
        <v>1696</v>
      </c>
    </row>
    <row r="469" spans="1:2" x14ac:dyDescent="0.2">
      <c r="A469" s="62" t="s">
        <v>1697</v>
      </c>
      <c r="B469" s="68" t="s">
        <v>1698</v>
      </c>
    </row>
    <row r="470" spans="1:2" x14ac:dyDescent="0.2">
      <c r="A470" s="62" t="s">
        <v>1699</v>
      </c>
      <c r="B470" s="68" t="s">
        <v>1700</v>
      </c>
    </row>
    <row r="471" spans="1:2" x14ac:dyDescent="0.2">
      <c r="A471" s="62" t="s">
        <v>1701</v>
      </c>
      <c r="B471" s="68" t="s">
        <v>1702</v>
      </c>
    </row>
    <row r="472" spans="1:2" x14ac:dyDescent="0.2">
      <c r="A472" s="62" t="s">
        <v>1703</v>
      </c>
      <c r="B472" s="68" t="s">
        <v>1704</v>
      </c>
    </row>
    <row r="473" spans="1:2" x14ac:dyDescent="0.2">
      <c r="A473" s="62" t="s">
        <v>1705</v>
      </c>
      <c r="B473" s="68" t="s">
        <v>1706</v>
      </c>
    </row>
    <row r="474" spans="1:2" x14ac:dyDescent="0.2">
      <c r="A474" s="62" t="s">
        <v>1707</v>
      </c>
      <c r="B474" s="69" t="s">
        <v>1708</v>
      </c>
    </row>
    <row r="475" spans="1:2" x14ac:dyDescent="0.2">
      <c r="A475" s="62" t="s">
        <v>1709</v>
      </c>
      <c r="B475" s="68" t="s">
        <v>1710</v>
      </c>
    </row>
    <row r="476" spans="1:2" x14ac:dyDescent="0.2">
      <c r="A476" s="62" t="s">
        <v>1711</v>
      </c>
      <c r="B476" s="68" t="s">
        <v>1712</v>
      </c>
    </row>
    <row r="477" spans="1:2" x14ac:dyDescent="0.2">
      <c r="A477" s="62" t="s">
        <v>1713</v>
      </c>
      <c r="B477" s="68" t="s">
        <v>1714</v>
      </c>
    </row>
    <row r="478" spans="1:2" x14ac:dyDescent="0.2">
      <c r="A478" s="62" t="s">
        <v>1715</v>
      </c>
      <c r="B478" s="68" t="s">
        <v>1716</v>
      </c>
    </row>
    <row r="479" spans="1:2" x14ac:dyDescent="0.2">
      <c r="A479" s="62" t="s">
        <v>1717</v>
      </c>
      <c r="B479" s="68" t="s">
        <v>1718</v>
      </c>
    </row>
    <row r="480" spans="1:2" x14ac:dyDescent="0.2">
      <c r="A480" s="62" t="s">
        <v>1719</v>
      </c>
      <c r="B480" s="68" t="s">
        <v>1720</v>
      </c>
    </row>
    <row r="481" spans="1:2" x14ac:dyDescent="0.2">
      <c r="A481" s="62" t="s">
        <v>1721</v>
      </c>
      <c r="B481" s="68" t="s">
        <v>1722</v>
      </c>
    </row>
    <row r="482" spans="1:2" x14ac:dyDescent="0.2">
      <c r="A482" s="62" t="s">
        <v>1723</v>
      </c>
      <c r="B482" s="68" t="s">
        <v>1724</v>
      </c>
    </row>
    <row r="483" spans="1:2" x14ac:dyDescent="0.2">
      <c r="A483" s="62" t="s">
        <v>1725</v>
      </c>
      <c r="B483" s="68" t="s">
        <v>1726</v>
      </c>
    </row>
    <row r="484" spans="1:2" x14ac:dyDescent="0.2">
      <c r="A484" s="62" t="s">
        <v>1727</v>
      </c>
      <c r="B484" s="68" t="s">
        <v>1728</v>
      </c>
    </row>
    <row r="485" spans="1:2" x14ac:dyDescent="0.2">
      <c r="A485" s="62" t="s">
        <v>1729</v>
      </c>
      <c r="B485" s="68" t="s">
        <v>1730</v>
      </c>
    </row>
    <row r="486" spans="1:2" x14ac:dyDescent="0.2">
      <c r="A486" s="62" t="s">
        <v>1731</v>
      </c>
      <c r="B486" s="68" t="s">
        <v>1732</v>
      </c>
    </row>
    <row r="487" spans="1:2" x14ac:dyDescent="0.2">
      <c r="A487" s="62" t="s">
        <v>1733</v>
      </c>
      <c r="B487" s="68" t="s">
        <v>1734</v>
      </c>
    </row>
    <row r="488" spans="1:2" x14ac:dyDescent="0.2">
      <c r="A488" s="62" t="s">
        <v>1735</v>
      </c>
      <c r="B488" s="68" t="s">
        <v>1736</v>
      </c>
    </row>
    <row r="489" spans="1:2" x14ac:dyDescent="0.2">
      <c r="A489" s="62" t="s">
        <v>1737</v>
      </c>
      <c r="B489" s="69" t="s">
        <v>1738</v>
      </c>
    </row>
    <row r="490" spans="1:2" x14ac:dyDescent="0.2">
      <c r="A490" s="62" t="s">
        <v>1739</v>
      </c>
      <c r="B490" s="68" t="s">
        <v>1740</v>
      </c>
    </row>
    <row r="491" spans="1:2" x14ac:dyDescent="0.2">
      <c r="A491" s="62" t="s">
        <v>1741</v>
      </c>
      <c r="B491" s="68" t="s">
        <v>1742</v>
      </c>
    </row>
    <row r="492" spans="1:2" x14ac:dyDescent="0.2">
      <c r="A492" s="62" t="s">
        <v>1743</v>
      </c>
      <c r="B492" s="68" t="s">
        <v>1744</v>
      </c>
    </row>
    <row r="493" spans="1:2" x14ac:dyDescent="0.2">
      <c r="A493" s="62" t="s">
        <v>1745</v>
      </c>
      <c r="B493" s="68" t="s">
        <v>1746</v>
      </c>
    </row>
    <row r="494" spans="1:2" x14ac:dyDescent="0.2">
      <c r="A494" s="62" t="s">
        <v>1747</v>
      </c>
      <c r="B494" s="68" t="s">
        <v>1748</v>
      </c>
    </row>
    <row r="495" spans="1:2" x14ac:dyDescent="0.2">
      <c r="A495" s="62" t="s">
        <v>1749</v>
      </c>
      <c r="B495" s="68" t="s">
        <v>1534</v>
      </c>
    </row>
    <row r="496" spans="1:2" x14ac:dyDescent="0.2">
      <c r="A496" s="62" t="s">
        <v>1750</v>
      </c>
      <c r="B496" s="68" t="s">
        <v>1751</v>
      </c>
    </row>
    <row r="497" spans="1:2" x14ac:dyDescent="0.2">
      <c r="A497" s="62" t="s">
        <v>1752</v>
      </c>
      <c r="B497" s="68" t="s">
        <v>1753</v>
      </c>
    </row>
    <row r="498" spans="1:2" x14ac:dyDescent="0.2">
      <c r="A498" s="62" t="s">
        <v>1754</v>
      </c>
      <c r="B498" s="68" t="s">
        <v>1755</v>
      </c>
    </row>
    <row r="499" spans="1:2" x14ac:dyDescent="0.2">
      <c r="A499" s="62" t="s">
        <v>1756</v>
      </c>
      <c r="B499" s="68" t="s">
        <v>1757</v>
      </c>
    </row>
    <row r="500" spans="1:2" x14ac:dyDescent="0.2">
      <c r="A500" s="62" t="s">
        <v>1758</v>
      </c>
      <c r="B500" s="68" t="s">
        <v>1759</v>
      </c>
    </row>
    <row r="501" spans="1:2" x14ac:dyDescent="0.2">
      <c r="A501" s="62" t="s">
        <v>1760</v>
      </c>
      <c r="B501" s="68" t="s">
        <v>1761</v>
      </c>
    </row>
    <row r="502" spans="1:2" x14ac:dyDescent="0.2">
      <c r="A502" s="62" t="s">
        <v>1762</v>
      </c>
      <c r="B502" s="68" t="s">
        <v>1763</v>
      </c>
    </row>
    <row r="503" spans="1:2" x14ac:dyDescent="0.2">
      <c r="A503" s="62" t="s">
        <v>1764</v>
      </c>
      <c r="B503" s="68" t="s">
        <v>1765</v>
      </c>
    </row>
    <row r="504" spans="1:2" x14ac:dyDescent="0.2">
      <c r="A504" s="62" t="s">
        <v>1766</v>
      </c>
      <c r="B504" s="68" t="s">
        <v>1767</v>
      </c>
    </row>
    <row r="505" spans="1:2" x14ac:dyDescent="0.2">
      <c r="A505" s="62" t="s">
        <v>1768</v>
      </c>
      <c r="B505" s="68" t="s">
        <v>1769</v>
      </c>
    </row>
    <row r="506" spans="1:2" x14ac:dyDescent="0.2">
      <c r="A506" s="62" t="s">
        <v>1770</v>
      </c>
      <c r="B506" s="68" t="s">
        <v>1771</v>
      </c>
    </row>
    <row r="507" spans="1:2" x14ac:dyDescent="0.2">
      <c r="A507" s="62" t="s">
        <v>1772</v>
      </c>
      <c r="B507" s="68" t="s">
        <v>1773</v>
      </c>
    </row>
    <row r="508" spans="1:2" x14ac:dyDescent="0.2">
      <c r="A508" s="62" t="s">
        <v>1774</v>
      </c>
      <c r="B508" s="68" t="s">
        <v>1775</v>
      </c>
    </row>
    <row r="509" spans="1:2" x14ac:dyDescent="0.2">
      <c r="A509" s="62" t="s">
        <v>1776</v>
      </c>
      <c r="B509" s="68" t="s">
        <v>1777</v>
      </c>
    </row>
    <row r="510" spans="1:2" x14ac:dyDescent="0.2">
      <c r="A510" s="62" t="s">
        <v>1778</v>
      </c>
      <c r="B510" s="68" t="s">
        <v>1779</v>
      </c>
    </row>
    <row r="511" spans="1:2" x14ac:dyDescent="0.2">
      <c r="A511" s="62" t="s">
        <v>1780</v>
      </c>
      <c r="B511" s="68" t="s">
        <v>1534</v>
      </c>
    </row>
    <row r="512" spans="1:2" x14ac:dyDescent="0.2">
      <c r="A512" s="62" t="s">
        <v>1781</v>
      </c>
      <c r="B512" s="68" t="s">
        <v>1782</v>
      </c>
    </row>
    <row r="513" spans="1:2" x14ac:dyDescent="0.2">
      <c r="A513" s="62" t="s">
        <v>1783</v>
      </c>
      <c r="B513" s="68" t="s">
        <v>1534</v>
      </c>
    </row>
    <row r="514" spans="1:2" x14ac:dyDescent="0.2">
      <c r="A514" s="62" t="s">
        <v>1784</v>
      </c>
      <c r="B514" s="68" t="s">
        <v>1534</v>
      </c>
    </row>
    <row r="515" spans="1:2" x14ac:dyDescent="0.2">
      <c r="A515" s="62" t="s">
        <v>1785</v>
      </c>
      <c r="B515" s="68" t="s">
        <v>1786</v>
      </c>
    </row>
    <row r="516" spans="1:2" x14ac:dyDescent="0.2">
      <c r="A516" s="62" t="s">
        <v>1787</v>
      </c>
      <c r="B516" s="68" t="s">
        <v>1788</v>
      </c>
    </row>
    <row r="517" spans="1:2" x14ac:dyDescent="0.2">
      <c r="A517" s="62" t="s">
        <v>1789</v>
      </c>
      <c r="B517" s="68" t="s">
        <v>1790</v>
      </c>
    </row>
    <row r="518" spans="1:2" x14ac:dyDescent="0.2">
      <c r="A518" s="62" t="s">
        <v>1791</v>
      </c>
      <c r="B518" s="68" t="s">
        <v>1792</v>
      </c>
    </row>
    <row r="519" spans="1:2" x14ac:dyDescent="0.2">
      <c r="A519" s="62" t="s">
        <v>1793</v>
      </c>
      <c r="B519" s="68" t="s">
        <v>1794</v>
      </c>
    </row>
    <row r="520" spans="1:2" x14ac:dyDescent="0.2">
      <c r="A520" s="62" t="s">
        <v>1795</v>
      </c>
      <c r="B520" s="68" t="s">
        <v>1796</v>
      </c>
    </row>
    <row r="521" spans="1:2" x14ac:dyDescent="0.2">
      <c r="A521" s="62" t="s">
        <v>1797</v>
      </c>
      <c r="B521" s="68" t="s">
        <v>1798</v>
      </c>
    </row>
    <row r="522" spans="1:2" x14ac:dyDescent="0.2">
      <c r="A522" s="62" t="s">
        <v>1799</v>
      </c>
      <c r="B522" s="68" t="s">
        <v>1800</v>
      </c>
    </row>
    <row r="523" spans="1:2" x14ac:dyDescent="0.2">
      <c r="A523" s="62" t="s">
        <v>1801</v>
      </c>
      <c r="B523" s="68" t="s">
        <v>1802</v>
      </c>
    </row>
    <row r="524" spans="1:2" x14ac:dyDescent="0.2">
      <c r="A524" s="62" t="s">
        <v>1803</v>
      </c>
      <c r="B524" s="68" t="s">
        <v>1804</v>
      </c>
    </row>
    <row r="525" spans="1:2" x14ac:dyDescent="0.2">
      <c r="A525" s="62" t="s">
        <v>1805</v>
      </c>
      <c r="B525" s="68" t="s">
        <v>1806</v>
      </c>
    </row>
    <row r="526" spans="1:2" x14ac:dyDescent="0.2">
      <c r="A526" s="62" t="s">
        <v>1807</v>
      </c>
      <c r="B526" s="68" t="s">
        <v>1808</v>
      </c>
    </row>
    <row r="527" spans="1:2" x14ac:dyDescent="0.2">
      <c r="A527" s="62" t="s">
        <v>1809</v>
      </c>
      <c r="B527" s="68" t="s">
        <v>1810</v>
      </c>
    </row>
    <row r="528" spans="1:2" x14ac:dyDescent="0.2">
      <c r="A528" s="62" t="s">
        <v>1811</v>
      </c>
      <c r="B528" s="68" t="s">
        <v>1812</v>
      </c>
    </row>
    <row r="529" spans="1:2" x14ac:dyDescent="0.2">
      <c r="A529" s="62" t="s">
        <v>1813</v>
      </c>
      <c r="B529" s="68" t="s">
        <v>1534</v>
      </c>
    </row>
    <row r="530" spans="1:2" x14ac:dyDescent="0.2">
      <c r="A530" s="62" t="s">
        <v>1814</v>
      </c>
      <c r="B530" s="68" t="s">
        <v>1815</v>
      </c>
    </row>
    <row r="531" spans="1:2" x14ac:dyDescent="0.2">
      <c r="A531" s="62" t="s">
        <v>1816</v>
      </c>
      <c r="B531" s="69" t="s">
        <v>1817</v>
      </c>
    </row>
    <row r="532" spans="1:2" x14ac:dyDescent="0.2">
      <c r="A532" s="62" t="s">
        <v>1818</v>
      </c>
      <c r="B532" s="69" t="s">
        <v>1819</v>
      </c>
    </row>
    <row r="533" spans="1:2" x14ac:dyDescent="0.2">
      <c r="A533" s="62" t="s">
        <v>1820</v>
      </c>
      <c r="B533" s="68" t="s">
        <v>1821</v>
      </c>
    </row>
    <row r="534" spans="1:2" x14ac:dyDescent="0.2">
      <c r="A534" s="62" t="s">
        <v>1822</v>
      </c>
      <c r="B534" s="68" t="s">
        <v>1823</v>
      </c>
    </row>
    <row r="535" spans="1:2" x14ac:dyDescent="0.2">
      <c r="A535" s="62" t="s">
        <v>1824</v>
      </c>
      <c r="B535" s="68" t="s">
        <v>1825</v>
      </c>
    </row>
    <row r="536" spans="1:2" x14ac:dyDescent="0.2">
      <c r="A536" s="62" t="s">
        <v>1826</v>
      </c>
      <c r="B536" s="68" t="s">
        <v>1827</v>
      </c>
    </row>
    <row r="537" spans="1:2" x14ac:dyDescent="0.2">
      <c r="A537" s="62" t="s">
        <v>1828</v>
      </c>
      <c r="B537" s="68" t="s">
        <v>1534</v>
      </c>
    </row>
    <row r="538" spans="1:2" x14ac:dyDescent="0.2">
      <c r="A538" s="62" t="s">
        <v>1829</v>
      </c>
      <c r="B538" s="68" t="s">
        <v>1534</v>
      </c>
    </row>
    <row r="539" spans="1:2" x14ac:dyDescent="0.2">
      <c r="A539" s="62" t="s">
        <v>1830</v>
      </c>
      <c r="B539" s="68" t="s">
        <v>1831</v>
      </c>
    </row>
    <row r="540" spans="1:2" x14ac:dyDescent="0.2">
      <c r="A540" s="62" t="s">
        <v>1832</v>
      </c>
      <c r="B540" s="68" t="s">
        <v>1833</v>
      </c>
    </row>
    <row r="541" spans="1:2" x14ac:dyDescent="0.2">
      <c r="A541" s="62" t="s">
        <v>1834</v>
      </c>
      <c r="B541" s="68" t="s">
        <v>1835</v>
      </c>
    </row>
    <row r="542" spans="1:2" x14ac:dyDescent="0.2">
      <c r="A542" s="62" t="s">
        <v>1836</v>
      </c>
      <c r="B542" s="68" t="s">
        <v>1837</v>
      </c>
    </row>
    <row r="543" spans="1:2" x14ac:dyDescent="0.2">
      <c r="A543" s="62" t="s">
        <v>1838</v>
      </c>
      <c r="B543" s="68" t="s">
        <v>1839</v>
      </c>
    </row>
    <row r="544" spans="1:2" x14ac:dyDescent="0.2">
      <c r="A544" s="62" t="s">
        <v>1840</v>
      </c>
      <c r="B544" s="68" t="s">
        <v>1841</v>
      </c>
    </row>
    <row r="545" spans="1:2" x14ac:dyDescent="0.2">
      <c r="A545" s="62" t="s">
        <v>1842</v>
      </c>
      <c r="B545" s="68" t="s">
        <v>1843</v>
      </c>
    </row>
    <row r="546" spans="1:2" x14ac:dyDescent="0.2">
      <c r="A546" s="62" t="s">
        <v>1844</v>
      </c>
      <c r="B546" s="69" t="s">
        <v>1845</v>
      </c>
    </row>
    <row r="547" spans="1:2" x14ac:dyDescent="0.2">
      <c r="A547" s="62" t="s">
        <v>1846</v>
      </c>
      <c r="B547" s="68" t="s">
        <v>1847</v>
      </c>
    </row>
    <row r="548" spans="1:2" x14ac:dyDescent="0.2">
      <c r="A548" s="62" t="s">
        <v>1848</v>
      </c>
      <c r="B548" s="68" t="s">
        <v>1849</v>
      </c>
    </row>
    <row r="549" spans="1:2" x14ac:dyDescent="0.2">
      <c r="A549" s="62" t="s">
        <v>1850</v>
      </c>
      <c r="B549" s="68" t="s">
        <v>1851</v>
      </c>
    </row>
    <row r="550" spans="1:2" x14ac:dyDescent="0.2">
      <c r="A550" s="62" t="s">
        <v>1852</v>
      </c>
      <c r="B550" s="68" t="s">
        <v>1853</v>
      </c>
    </row>
    <row r="551" spans="1:2" x14ac:dyDescent="0.2">
      <c r="A551" s="62" t="s">
        <v>1854</v>
      </c>
      <c r="B551" s="69" t="s">
        <v>1855</v>
      </c>
    </row>
    <row r="552" spans="1:2" x14ac:dyDescent="0.2">
      <c r="A552" s="62" t="s">
        <v>1856</v>
      </c>
      <c r="B552" s="68" t="s">
        <v>1857</v>
      </c>
    </row>
    <row r="553" spans="1:2" x14ac:dyDescent="0.2">
      <c r="A553" s="62" t="s">
        <v>1858</v>
      </c>
      <c r="B553" s="68" t="s">
        <v>1859</v>
      </c>
    </row>
    <row r="554" spans="1:2" x14ac:dyDescent="0.2">
      <c r="A554" s="62" t="s">
        <v>1860</v>
      </c>
      <c r="B554" s="69" t="s">
        <v>1861</v>
      </c>
    </row>
    <row r="555" spans="1:2" x14ac:dyDescent="0.2">
      <c r="A555" s="62" t="s">
        <v>1862</v>
      </c>
      <c r="B555" s="68" t="s">
        <v>1863</v>
      </c>
    </row>
    <row r="556" spans="1:2" x14ac:dyDescent="0.2">
      <c r="A556" s="62" t="s">
        <v>1864</v>
      </c>
      <c r="B556" s="68" t="s">
        <v>1865</v>
      </c>
    </row>
    <row r="557" spans="1:2" x14ac:dyDescent="0.2">
      <c r="A557" s="62" t="s">
        <v>1866</v>
      </c>
      <c r="B557" s="68" t="s">
        <v>1867</v>
      </c>
    </row>
    <row r="558" spans="1:2" x14ac:dyDescent="0.2">
      <c r="A558" s="62" t="s">
        <v>1868</v>
      </c>
      <c r="B558" s="68" t="s">
        <v>1869</v>
      </c>
    </row>
    <row r="559" spans="1:2" x14ac:dyDescent="0.2">
      <c r="A559" s="62" t="s">
        <v>1870</v>
      </c>
      <c r="B559" s="68" t="s">
        <v>1871</v>
      </c>
    </row>
    <row r="560" spans="1:2" x14ac:dyDescent="0.2">
      <c r="A560" s="62" t="s">
        <v>1872</v>
      </c>
      <c r="B560" s="68" t="s">
        <v>1873</v>
      </c>
    </row>
    <row r="561" spans="1:2" x14ac:dyDescent="0.2">
      <c r="A561" s="62" t="s">
        <v>1874</v>
      </c>
      <c r="B561" s="68" t="s">
        <v>1875</v>
      </c>
    </row>
    <row r="562" spans="1:2" x14ac:dyDescent="0.2">
      <c r="A562" s="62" t="s">
        <v>1876</v>
      </c>
      <c r="B562" s="68" t="s">
        <v>1534</v>
      </c>
    </row>
    <row r="563" spans="1:2" x14ac:dyDescent="0.2">
      <c r="A563" s="62" t="s">
        <v>1877</v>
      </c>
      <c r="B563" s="68" t="s">
        <v>1878</v>
      </c>
    </row>
    <row r="564" spans="1:2" x14ac:dyDescent="0.2">
      <c r="A564" s="62" t="s">
        <v>1879</v>
      </c>
      <c r="B564" s="68" t="s">
        <v>1880</v>
      </c>
    </row>
    <row r="565" spans="1:2" x14ac:dyDescent="0.2">
      <c r="A565" s="62" t="s">
        <v>1881</v>
      </c>
      <c r="B565" s="69" t="s">
        <v>1882</v>
      </c>
    </row>
    <row r="566" spans="1:2" x14ac:dyDescent="0.2">
      <c r="A566" s="62" t="s">
        <v>1883</v>
      </c>
      <c r="B566" s="68" t="s">
        <v>1884</v>
      </c>
    </row>
    <row r="567" spans="1:2" x14ac:dyDescent="0.2">
      <c r="A567" s="62" t="s">
        <v>1885</v>
      </c>
      <c r="B567" s="68" t="s">
        <v>1534</v>
      </c>
    </row>
    <row r="568" spans="1:2" x14ac:dyDescent="0.2">
      <c r="A568" s="62" t="s">
        <v>1886</v>
      </c>
      <c r="B568" s="68" t="s">
        <v>1887</v>
      </c>
    </row>
    <row r="569" spans="1:2" x14ac:dyDescent="0.2">
      <c r="A569" s="62" t="s">
        <v>1888</v>
      </c>
      <c r="B569" s="68" t="s">
        <v>1889</v>
      </c>
    </row>
    <row r="570" spans="1:2" x14ac:dyDescent="0.2">
      <c r="A570" s="62" t="s">
        <v>1890</v>
      </c>
      <c r="B570" s="68" t="s">
        <v>1891</v>
      </c>
    </row>
    <row r="571" spans="1:2" x14ac:dyDescent="0.2">
      <c r="A571" s="62" t="s">
        <v>1892</v>
      </c>
      <c r="B571" s="68" t="s">
        <v>1893</v>
      </c>
    </row>
    <row r="572" spans="1:2" x14ac:dyDescent="0.2">
      <c r="A572" s="62" t="s">
        <v>1894</v>
      </c>
      <c r="B572" s="68" t="s">
        <v>1895</v>
      </c>
    </row>
    <row r="573" spans="1:2" x14ac:dyDescent="0.2">
      <c r="A573" s="62" t="s">
        <v>1896</v>
      </c>
      <c r="B573" s="69" t="s">
        <v>1897</v>
      </c>
    </row>
    <row r="574" spans="1:2" x14ac:dyDescent="0.2">
      <c r="A574" s="62" t="s">
        <v>1898</v>
      </c>
      <c r="B574" s="69" t="s">
        <v>1899</v>
      </c>
    </row>
    <row r="575" spans="1:2" x14ac:dyDescent="0.2">
      <c r="A575" s="62" t="s">
        <v>1900</v>
      </c>
      <c r="B575" s="69" t="s">
        <v>1901</v>
      </c>
    </row>
    <row r="576" spans="1:2" x14ac:dyDescent="0.2">
      <c r="A576" s="62" t="s">
        <v>1902</v>
      </c>
      <c r="B576" s="68" t="s">
        <v>1903</v>
      </c>
    </row>
    <row r="577" spans="1:2" x14ac:dyDescent="0.2">
      <c r="A577" s="62" t="s">
        <v>1904</v>
      </c>
      <c r="B577" s="68" t="s">
        <v>1905</v>
      </c>
    </row>
    <row r="578" spans="1:2" x14ac:dyDescent="0.2">
      <c r="A578" s="62" t="s">
        <v>1906</v>
      </c>
      <c r="B578" s="68" t="s">
        <v>1907</v>
      </c>
    </row>
    <row r="579" spans="1:2" x14ac:dyDescent="0.2">
      <c r="A579" s="62" t="s">
        <v>1908</v>
      </c>
      <c r="B579" s="68" t="s">
        <v>1909</v>
      </c>
    </row>
    <row r="580" spans="1:2" x14ac:dyDescent="0.2">
      <c r="A580" s="62" t="s">
        <v>1910</v>
      </c>
      <c r="B580" s="68" t="s">
        <v>1911</v>
      </c>
    </row>
    <row r="581" spans="1:2" x14ac:dyDescent="0.2">
      <c r="A581" s="62" t="s">
        <v>1912</v>
      </c>
      <c r="B581" s="68" t="s">
        <v>1913</v>
      </c>
    </row>
    <row r="582" spans="1:2" x14ac:dyDescent="0.2">
      <c r="A582" s="62" t="s">
        <v>1914</v>
      </c>
      <c r="B582" s="68" t="s">
        <v>1915</v>
      </c>
    </row>
    <row r="583" spans="1:2" x14ac:dyDescent="0.2">
      <c r="A583" s="62" t="s">
        <v>1916</v>
      </c>
      <c r="B583" s="68" t="s">
        <v>1917</v>
      </c>
    </row>
    <row r="584" spans="1:2" x14ac:dyDescent="0.2">
      <c r="A584" s="62" t="s">
        <v>1918</v>
      </c>
      <c r="B584" s="68" t="s">
        <v>1919</v>
      </c>
    </row>
    <row r="585" spans="1:2" x14ac:dyDescent="0.2">
      <c r="A585" s="62" t="s">
        <v>1920</v>
      </c>
      <c r="B585" s="68" t="s">
        <v>1921</v>
      </c>
    </row>
    <row r="586" spans="1:2" x14ac:dyDescent="0.2">
      <c r="A586" s="62" t="s">
        <v>1922</v>
      </c>
      <c r="B586" s="68" t="s">
        <v>1534</v>
      </c>
    </row>
    <row r="587" spans="1:2" x14ac:dyDescent="0.2">
      <c r="A587" s="62" t="s">
        <v>1923</v>
      </c>
      <c r="B587" s="68" t="s">
        <v>1924</v>
      </c>
    </row>
    <row r="588" spans="1:2" x14ac:dyDescent="0.2">
      <c r="A588" s="62" t="s">
        <v>1925</v>
      </c>
      <c r="B588" s="68" t="s">
        <v>1926</v>
      </c>
    </row>
    <row r="589" spans="1:2" x14ac:dyDescent="0.2">
      <c r="A589" s="62" t="s">
        <v>1927</v>
      </c>
      <c r="B589" s="68" t="s">
        <v>1928</v>
      </c>
    </row>
    <row r="590" spans="1:2" x14ac:dyDescent="0.2">
      <c r="A590" s="62" t="s">
        <v>1929</v>
      </c>
      <c r="B590" s="68" t="s">
        <v>1930</v>
      </c>
    </row>
    <row r="591" spans="1:2" x14ac:dyDescent="0.2">
      <c r="A591" s="62" t="s">
        <v>1931</v>
      </c>
      <c r="B591" s="68" t="s">
        <v>1932</v>
      </c>
    </row>
    <row r="592" spans="1:2" x14ac:dyDescent="0.2">
      <c r="A592" s="62" t="s">
        <v>1933</v>
      </c>
      <c r="B592" s="68" t="s">
        <v>1934</v>
      </c>
    </row>
    <row r="593" spans="1:2" x14ac:dyDescent="0.2">
      <c r="A593" s="62" t="s">
        <v>1935</v>
      </c>
      <c r="B593" s="68" t="s">
        <v>1936</v>
      </c>
    </row>
    <row r="594" spans="1:2" x14ac:dyDescent="0.2">
      <c r="A594" s="62" t="s">
        <v>1937</v>
      </c>
      <c r="B594" s="68" t="s">
        <v>1938</v>
      </c>
    </row>
    <row r="595" spans="1:2" x14ac:dyDescent="0.2">
      <c r="A595" s="62" t="s">
        <v>1939</v>
      </c>
      <c r="B595" s="68" t="s">
        <v>1940</v>
      </c>
    </row>
    <row r="596" spans="1:2" x14ac:dyDescent="0.2">
      <c r="A596" s="62" t="s">
        <v>1941</v>
      </c>
      <c r="B596" s="68" t="s">
        <v>1942</v>
      </c>
    </row>
    <row r="597" spans="1:2" x14ac:dyDescent="0.2">
      <c r="A597" s="62" t="s">
        <v>1943</v>
      </c>
      <c r="B597" s="68" t="s">
        <v>1944</v>
      </c>
    </row>
    <row r="598" spans="1:2" x14ac:dyDescent="0.2">
      <c r="A598" s="62" t="s">
        <v>1945</v>
      </c>
      <c r="B598" s="69" t="s">
        <v>1946</v>
      </c>
    </row>
    <row r="599" spans="1:2" x14ac:dyDescent="0.2">
      <c r="A599" s="62" t="s">
        <v>1947</v>
      </c>
      <c r="B599" s="68" t="s">
        <v>1948</v>
      </c>
    </row>
    <row r="600" spans="1:2" x14ac:dyDescent="0.2">
      <c r="A600" s="62" t="s">
        <v>1949</v>
      </c>
      <c r="B600" s="68" t="s">
        <v>1950</v>
      </c>
    </row>
    <row r="601" spans="1:2" x14ac:dyDescent="0.2">
      <c r="A601" s="62" t="s">
        <v>1951</v>
      </c>
      <c r="B601" s="68" t="s">
        <v>1952</v>
      </c>
    </row>
    <row r="602" spans="1:2" x14ac:dyDescent="0.2">
      <c r="A602" s="62" t="s">
        <v>1953</v>
      </c>
      <c r="B602" s="68" t="s">
        <v>1954</v>
      </c>
    </row>
    <row r="603" spans="1:2" x14ac:dyDescent="0.2">
      <c r="A603" s="62" t="s">
        <v>1955</v>
      </c>
      <c r="B603" s="68" t="s">
        <v>1956</v>
      </c>
    </row>
    <row r="604" spans="1:2" x14ac:dyDescent="0.2">
      <c r="A604" s="62" t="s">
        <v>1957</v>
      </c>
      <c r="B604" s="69" t="s">
        <v>1958</v>
      </c>
    </row>
    <row r="605" spans="1:2" x14ac:dyDescent="0.2">
      <c r="A605" s="62" t="s">
        <v>1959</v>
      </c>
      <c r="B605" s="68" t="s">
        <v>1960</v>
      </c>
    </row>
    <row r="606" spans="1:2" x14ac:dyDescent="0.2">
      <c r="A606" s="62" t="s">
        <v>1961</v>
      </c>
      <c r="B606" s="68" t="s">
        <v>1534</v>
      </c>
    </row>
    <row r="607" spans="1:2" x14ac:dyDescent="0.2">
      <c r="A607" s="62" t="s">
        <v>1962</v>
      </c>
      <c r="B607" s="68" t="s">
        <v>1963</v>
      </c>
    </row>
    <row r="608" spans="1:2" x14ac:dyDescent="0.2">
      <c r="A608" s="62" t="s">
        <v>1964</v>
      </c>
      <c r="B608" s="68" t="s">
        <v>1965</v>
      </c>
    </row>
    <row r="609" spans="1:2" x14ac:dyDescent="0.2">
      <c r="A609" s="62" t="s">
        <v>1966</v>
      </c>
      <c r="B609" s="68" t="s">
        <v>1967</v>
      </c>
    </row>
    <row r="610" spans="1:2" x14ac:dyDescent="0.2">
      <c r="A610" s="62" t="s">
        <v>1968</v>
      </c>
      <c r="B610" s="68" t="s">
        <v>1969</v>
      </c>
    </row>
    <row r="611" spans="1:2" x14ac:dyDescent="0.2">
      <c r="A611" s="62" t="s">
        <v>1970</v>
      </c>
      <c r="B611" s="68" t="s">
        <v>1971</v>
      </c>
    </row>
    <row r="612" spans="1:2" x14ac:dyDescent="0.2">
      <c r="A612" s="62" t="s">
        <v>1972</v>
      </c>
      <c r="B612" s="68" t="s">
        <v>1973</v>
      </c>
    </row>
    <row r="613" spans="1:2" x14ac:dyDescent="0.2">
      <c r="A613" s="62" t="s">
        <v>1974</v>
      </c>
      <c r="B613" s="68" t="s">
        <v>1975</v>
      </c>
    </row>
    <row r="614" spans="1:2" x14ac:dyDescent="0.2">
      <c r="A614" s="62" t="s">
        <v>1976</v>
      </c>
      <c r="B614" s="68" t="s">
        <v>1977</v>
      </c>
    </row>
    <row r="615" spans="1:2" x14ac:dyDescent="0.2">
      <c r="A615" s="62" t="s">
        <v>1978</v>
      </c>
      <c r="B615" s="68" t="s">
        <v>1979</v>
      </c>
    </row>
    <row r="616" spans="1:2" x14ac:dyDescent="0.2">
      <c r="A616" s="62" t="s">
        <v>1980</v>
      </c>
      <c r="B616" s="68" t="s">
        <v>1981</v>
      </c>
    </row>
    <row r="617" spans="1:2" x14ac:dyDescent="0.2">
      <c r="A617" s="62" t="s">
        <v>1982</v>
      </c>
      <c r="B617" s="68" t="s">
        <v>1983</v>
      </c>
    </row>
    <row r="618" spans="1:2" x14ac:dyDescent="0.2">
      <c r="A618" s="62" t="s">
        <v>1984</v>
      </c>
      <c r="B618" s="68" t="s">
        <v>1985</v>
      </c>
    </row>
    <row r="619" spans="1:2" x14ac:dyDescent="0.2">
      <c r="A619" s="62" t="s">
        <v>1986</v>
      </c>
      <c r="B619" s="68" t="s">
        <v>1987</v>
      </c>
    </row>
    <row r="620" spans="1:2" x14ac:dyDescent="0.2">
      <c r="A620" s="62" t="s">
        <v>1988</v>
      </c>
      <c r="B620" s="68" t="s">
        <v>1989</v>
      </c>
    </row>
    <row r="621" spans="1:2" x14ac:dyDescent="0.2">
      <c r="A621" s="62" t="s">
        <v>1990</v>
      </c>
      <c r="B621" s="68" t="s">
        <v>1991</v>
      </c>
    </row>
    <row r="622" spans="1:2" x14ac:dyDescent="0.2">
      <c r="A622" s="62" t="s">
        <v>1992</v>
      </c>
      <c r="B622" s="68" t="s">
        <v>1993</v>
      </c>
    </row>
    <row r="623" spans="1:2" x14ac:dyDescent="0.2">
      <c r="A623" s="62" t="s">
        <v>1994</v>
      </c>
      <c r="B623" s="68" t="s">
        <v>1995</v>
      </c>
    </row>
    <row r="624" spans="1:2" x14ac:dyDescent="0.2">
      <c r="A624" s="62" t="s">
        <v>1996</v>
      </c>
      <c r="B624" s="68" t="s">
        <v>1997</v>
      </c>
    </row>
    <row r="625" spans="1:2" x14ac:dyDescent="0.2">
      <c r="A625" s="62" t="s">
        <v>1998</v>
      </c>
      <c r="B625" s="68" t="s">
        <v>1999</v>
      </c>
    </row>
    <row r="626" spans="1:2" x14ac:dyDescent="0.2">
      <c r="A626" s="62" t="s">
        <v>2000</v>
      </c>
      <c r="B626" s="68" t="s">
        <v>2125</v>
      </c>
    </row>
    <row r="627" spans="1:2" x14ac:dyDescent="0.2">
      <c r="A627" s="62" t="s">
        <v>2001</v>
      </c>
      <c r="B627" s="68" t="s">
        <v>2002</v>
      </c>
    </row>
    <row r="628" spans="1:2" x14ac:dyDescent="0.2">
      <c r="A628" s="62" t="s">
        <v>2003</v>
      </c>
      <c r="B628" s="68" t="s">
        <v>2004</v>
      </c>
    </row>
    <row r="629" spans="1:2" x14ac:dyDescent="0.2">
      <c r="A629" s="62" t="s">
        <v>2005</v>
      </c>
      <c r="B629" s="68" t="s">
        <v>2006</v>
      </c>
    </row>
    <row r="630" spans="1:2" x14ac:dyDescent="0.2">
      <c r="A630" s="62" t="s">
        <v>2007</v>
      </c>
      <c r="B630" s="68" t="s">
        <v>2008</v>
      </c>
    </row>
    <row r="631" spans="1:2" ht="25.5" x14ac:dyDescent="0.2">
      <c r="A631" s="63" t="s">
        <v>2009</v>
      </c>
      <c r="B631" s="67" t="s">
        <v>2010</v>
      </c>
    </row>
    <row r="632" spans="1:2" ht="25.5" x14ac:dyDescent="0.2">
      <c r="A632" s="63" t="s">
        <v>2011</v>
      </c>
      <c r="B632" s="67" t="s">
        <v>2012</v>
      </c>
    </row>
    <row r="633" spans="1:2" ht="25.5" x14ac:dyDescent="0.2">
      <c r="A633" s="63" t="s">
        <v>2013</v>
      </c>
      <c r="B633" s="67" t="s">
        <v>2014</v>
      </c>
    </row>
    <row r="634" spans="1:2" ht="25.5" x14ac:dyDescent="0.2">
      <c r="A634" s="63" t="s">
        <v>2015</v>
      </c>
      <c r="B634" s="67" t="s">
        <v>2016</v>
      </c>
    </row>
    <row r="635" spans="1:2" ht="51" x14ac:dyDescent="0.2">
      <c r="A635" s="64" t="s">
        <v>840</v>
      </c>
      <c r="B635" s="65" t="s">
        <v>2017</v>
      </c>
    </row>
    <row r="636" spans="1:2" ht="51" x14ac:dyDescent="0.2">
      <c r="A636" s="66" t="s">
        <v>841</v>
      </c>
      <c r="B636" s="65" t="s">
        <v>2018</v>
      </c>
    </row>
    <row r="637" spans="1:2" ht="25.5" x14ac:dyDescent="0.2">
      <c r="A637" s="64" t="s">
        <v>847</v>
      </c>
      <c r="B637" s="65" t="s">
        <v>2019</v>
      </c>
    </row>
    <row r="638" spans="1:2" ht="38.25" x14ac:dyDescent="0.2">
      <c r="A638" s="66" t="s">
        <v>850</v>
      </c>
      <c r="B638" s="65" t="s">
        <v>2020</v>
      </c>
    </row>
    <row r="639" spans="1:2" x14ac:dyDescent="0.2">
      <c r="A639" s="66" t="s">
        <v>851</v>
      </c>
      <c r="B639" s="65" t="s">
        <v>2021</v>
      </c>
    </row>
    <row r="640" spans="1:2" x14ac:dyDescent="0.2">
      <c r="A640" s="66" t="s">
        <v>856</v>
      </c>
      <c r="B640" s="65" t="s">
        <v>2022</v>
      </c>
    </row>
    <row r="641" spans="1:2" ht="63.75" x14ac:dyDescent="0.2">
      <c r="A641" s="66" t="s">
        <v>859</v>
      </c>
      <c r="B641" s="65" t="s">
        <v>2023</v>
      </c>
    </row>
    <row r="642" spans="1:2" ht="63.75" x14ac:dyDescent="0.2">
      <c r="A642" s="66" t="s">
        <v>861</v>
      </c>
      <c r="B642" s="65" t="s">
        <v>2024</v>
      </c>
    </row>
    <row r="643" spans="1:2" ht="38.25" x14ac:dyDescent="0.2">
      <c r="A643" s="64" t="s">
        <v>862</v>
      </c>
      <c r="B643" s="65" t="s">
        <v>2025</v>
      </c>
    </row>
    <row r="644" spans="1:2" ht="25.5" x14ac:dyDescent="0.2">
      <c r="A644" s="64" t="s">
        <v>864</v>
      </c>
      <c r="B644" s="65" t="s">
        <v>2026</v>
      </c>
    </row>
    <row r="645" spans="1:2" ht="25.5" x14ac:dyDescent="0.2">
      <c r="A645" s="64" t="s">
        <v>865</v>
      </c>
      <c r="B645" s="65" t="s">
        <v>2027</v>
      </c>
    </row>
    <row r="646" spans="1:2" ht="25.5" x14ac:dyDescent="0.2">
      <c r="A646" s="64" t="s">
        <v>867</v>
      </c>
      <c r="B646" s="65" t="s">
        <v>2028</v>
      </c>
    </row>
    <row r="647" spans="1:2" x14ac:dyDescent="0.2">
      <c r="A647" s="64" t="s">
        <v>875</v>
      </c>
      <c r="B647" s="65" t="s">
        <v>2029</v>
      </c>
    </row>
    <row r="648" spans="1:2" ht="114.75" x14ac:dyDescent="0.2">
      <c r="A648" s="64" t="s">
        <v>870</v>
      </c>
      <c r="B648" s="65" t="s">
        <v>2030</v>
      </c>
    </row>
    <row r="649" spans="1:2" ht="25.5" x14ac:dyDescent="0.2">
      <c r="A649" s="64" t="s">
        <v>878</v>
      </c>
      <c r="B649" s="65" t="s">
        <v>2031</v>
      </c>
    </row>
    <row r="650" spans="1:2" ht="25.5" x14ac:dyDescent="0.2">
      <c r="A650" s="64" t="s">
        <v>879</v>
      </c>
      <c r="B650" s="65" t="s">
        <v>2032</v>
      </c>
    </row>
    <row r="651" spans="1:2" ht="38.25" x14ac:dyDescent="0.2">
      <c r="A651" s="64" t="s">
        <v>882</v>
      </c>
      <c r="B651" s="65" t="s">
        <v>2033</v>
      </c>
    </row>
    <row r="652" spans="1:2" ht="25.5" x14ac:dyDescent="0.2">
      <c r="A652" s="64" t="s">
        <v>883</v>
      </c>
      <c r="B652" s="65" t="s">
        <v>2034</v>
      </c>
    </row>
    <row r="653" spans="1:2" ht="38.25" x14ac:dyDescent="0.2">
      <c r="A653" s="64" t="s">
        <v>885</v>
      </c>
      <c r="B653" s="65" t="s">
        <v>2035</v>
      </c>
    </row>
    <row r="654" spans="1:2" ht="51" x14ac:dyDescent="0.2">
      <c r="A654" s="64" t="s">
        <v>2036</v>
      </c>
      <c r="B654" s="65" t="s">
        <v>2037</v>
      </c>
    </row>
    <row r="655" spans="1:2" ht="38.25" x14ac:dyDescent="0.2">
      <c r="A655" s="64" t="s">
        <v>888</v>
      </c>
      <c r="B655" s="65" t="s">
        <v>2038</v>
      </c>
    </row>
    <row r="656" spans="1:2" x14ac:dyDescent="0.2">
      <c r="A656" s="64" t="s">
        <v>886</v>
      </c>
      <c r="B656" s="65" t="s">
        <v>2039</v>
      </c>
    </row>
    <row r="657" spans="1:2" ht="38.25" x14ac:dyDescent="0.2">
      <c r="A657" s="64" t="s">
        <v>896</v>
      </c>
      <c r="B657" s="65" t="s">
        <v>2040</v>
      </c>
    </row>
    <row r="658" spans="1:2" ht="25.5" x14ac:dyDescent="0.2">
      <c r="A658" s="64" t="s">
        <v>616</v>
      </c>
      <c r="B658" s="65" t="s">
        <v>2041</v>
      </c>
    </row>
    <row r="659" spans="1:2" ht="25.5" x14ac:dyDescent="0.2">
      <c r="A659" s="64" t="s">
        <v>617</v>
      </c>
      <c r="B659" s="65" t="s">
        <v>2042</v>
      </c>
    </row>
    <row r="660" spans="1:2" x14ac:dyDescent="0.2">
      <c r="A660" s="116" t="s">
        <v>2168</v>
      </c>
      <c r="B660" s="65" t="s">
        <v>2169</v>
      </c>
    </row>
    <row r="661" spans="1:2" x14ac:dyDescent="0.2">
      <c r="A661" s="116">
        <v>1.1000000000000001</v>
      </c>
      <c r="B661" s="65" t="s">
        <v>2170</v>
      </c>
    </row>
    <row r="662" spans="1:2" x14ac:dyDescent="0.2">
      <c r="A662" s="116" t="s">
        <v>2171</v>
      </c>
      <c r="B662" s="65" t="s">
        <v>2172</v>
      </c>
    </row>
    <row r="663" spans="1:2" x14ac:dyDescent="0.2">
      <c r="A663" s="116" t="s">
        <v>2173</v>
      </c>
      <c r="B663" s="65" t="s">
        <v>2174</v>
      </c>
    </row>
    <row r="664" spans="1:2" x14ac:dyDescent="0.2">
      <c r="A664" s="116" t="s">
        <v>2175</v>
      </c>
      <c r="B664" s="65" t="s">
        <v>2176</v>
      </c>
    </row>
    <row r="665" spans="1:2" x14ac:dyDescent="0.2">
      <c r="A665" s="116" t="s">
        <v>2177</v>
      </c>
      <c r="B665" s="65" t="s">
        <v>2178</v>
      </c>
    </row>
    <row r="666" spans="1:2" x14ac:dyDescent="0.2">
      <c r="A666" s="116" t="s">
        <v>2179</v>
      </c>
      <c r="B666" s="65" t="s">
        <v>2180</v>
      </c>
    </row>
    <row r="667" spans="1:2" x14ac:dyDescent="0.2">
      <c r="A667" s="116" t="s">
        <v>2181</v>
      </c>
      <c r="B667" s="65" t="s">
        <v>2182</v>
      </c>
    </row>
    <row r="668" spans="1:2" x14ac:dyDescent="0.2">
      <c r="A668" s="116" t="s">
        <v>2183</v>
      </c>
      <c r="B668" s="65" t="s">
        <v>2184</v>
      </c>
    </row>
    <row r="669" spans="1:2" x14ac:dyDescent="0.2">
      <c r="A669" s="116">
        <v>1.2</v>
      </c>
      <c r="B669" s="65" t="s">
        <v>2185</v>
      </c>
    </row>
    <row r="670" spans="1:2" x14ac:dyDescent="0.2">
      <c r="A670" s="116" t="s">
        <v>2186</v>
      </c>
      <c r="B670" s="65" t="s">
        <v>2187</v>
      </c>
    </row>
    <row r="671" spans="1:2" x14ac:dyDescent="0.2">
      <c r="A671" s="116" t="s">
        <v>2188</v>
      </c>
      <c r="B671" s="65" t="s">
        <v>2189</v>
      </c>
    </row>
    <row r="672" spans="1:2" x14ac:dyDescent="0.2">
      <c r="A672" s="116" t="s">
        <v>2190</v>
      </c>
      <c r="B672" s="65" t="s">
        <v>2191</v>
      </c>
    </row>
    <row r="673" spans="1:2" x14ac:dyDescent="0.2">
      <c r="A673" s="116">
        <v>1.3</v>
      </c>
      <c r="B673" s="65" t="s">
        <v>2192</v>
      </c>
    </row>
    <row r="674" spans="1:2" x14ac:dyDescent="0.2">
      <c r="A674" s="116" t="s">
        <v>2193</v>
      </c>
      <c r="B674" s="65" t="s">
        <v>2194</v>
      </c>
    </row>
    <row r="675" spans="1:2" x14ac:dyDescent="0.2">
      <c r="A675" s="116" t="s">
        <v>2195</v>
      </c>
      <c r="B675" s="65" t="s">
        <v>2196</v>
      </c>
    </row>
    <row r="676" spans="1:2" x14ac:dyDescent="0.2">
      <c r="A676" s="116" t="s">
        <v>2197</v>
      </c>
      <c r="B676" s="65" t="s">
        <v>2198</v>
      </c>
    </row>
    <row r="677" spans="1:2" x14ac:dyDescent="0.2">
      <c r="A677" s="116" t="s">
        <v>2199</v>
      </c>
      <c r="B677" s="65" t="s">
        <v>2200</v>
      </c>
    </row>
    <row r="678" spans="1:2" x14ac:dyDescent="0.2">
      <c r="A678" s="116" t="s">
        <v>2201</v>
      </c>
      <c r="B678" s="65" t="s">
        <v>2202</v>
      </c>
    </row>
    <row r="679" spans="1:2" x14ac:dyDescent="0.2">
      <c r="A679" s="116" t="s">
        <v>2203</v>
      </c>
      <c r="B679" s="65" t="s">
        <v>2204</v>
      </c>
    </row>
    <row r="680" spans="1:2" x14ac:dyDescent="0.2">
      <c r="A680" s="116" t="s">
        <v>2205</v>
      </c>
      <c r="B680" s="65" t="s">
        <v>2206</v>
      </c>
    </row>
    <row r="681" spans="1:2" x14ac:dyDescent="0.2">
      <c r="A681" s="116">
        <v>1.4</v>
      </c>
      <c r="B681" s="65" t="s">
        <v>2207</v>
      </c>
    </row>
    <row r="682" spans="1:2" x14ac:dyDescent="0.2">
      <c r="A682" s="116">
        <v>1.5</v>
      </c>
      <c r="B682" s="65" t="s">
        <v>2208</v>
      </c>
    </row>
    <row r="683" spans="1:2" x14ac:dyDescent="0.2">
      <c r="A683" s="116" t="s">
        <v>2209</v>
      </c>
      <c r="B683" s="65" t="s">
        <v>2210</v>
      </c>
    </row>
    <row r="684" spans="1:2" x14ac:dyDescent="0.2">
      <c r="A684" s="116">
        <v>2.1</v>
      </c>
      <c r="B684" s="65" t="s">
        <v>2211</v>
      </c>
    </row>
    <row r="685" spans="1:2" x14ac:dyDescent="0.2">
      <c r="A685" s="116" t="s">
        <v>2212</v>
      </c>
      <c r="B685" s="65" t="s">
        <v>2213</v>
      </c>
    </row>
    <row r="686" spans="1:2" x14ac:dyDescent="0.2">
      <c r="A686" s="116">
        <v>2.2000000000000002</v>
      </c>
      <c r="B686" s="65" t="s">
        <v>2214</v>
      </c>
    </row>
    <row r="687" spans="1:2" x14ac:dyDescent="0.2">
      <c r="A687" s="116" t="s">
        <v>2215</v>
      </c>
      <c r="B687" s="65" t="s">
        <v>2216</v>
      </c>
    </row>
    <row r="688" spans="1:2" x14ac:dyDescent="0.2">
      <c r="A688" s="116" t="s">
        <v>2217</v>
      </c>
      <c r="B688" s="65" t="s">
        <v>2218</v>
      </c>
    </row>
    <row r="689" spans="1:2" x14ac:dyDescent="0.2">
      <c r="A689" s="116" t="s">
        <v>2219</v>
      </c>
      <c r="B689" s="65" t="s">
        <v>2220</v>
      </c>
    </row>
    <row r="690" spans="1:2" x14ac:dyDescent="0.2">
      <c r="A690" s="116" t="s">
        <v>2221</v>
      </c>
      <c r="B690" s="65" t="s">
        <v>2222</v>
      </c>
    </row>
    <row r="691" spans="1:2" x14ac:dyDescent="0.2">
      <c r="A691" s="116" t="s">
        <v>2223</v>
      </c>
      <c r="B691" s="65" t="s">
        <v>2224</v>
      </c>
    </row>
    <row r="692" spans="1:2" x14ac:dyDescent="0.2">
      <c r="A692" s="116">
        <v>2.2999999999999998</v>
      </c>
      <c r="B692" s="65" t="s">
        <v>2225</v>
      </c>
    </row>
    <row r="693" spans="1:2" x14ac:dyDescent="0.2">
      <c r="A693" s="116">
        <v>2.4</v>
      </c>
      <c r="B693" s="65" t="s">
        <v>2226</v>
      </c>
    </row>
    <row r="694" spans="1:2" x14ac:dyDescent="0.2">
      <c r="A694" s="116">
        <v>2.5</v>
      </c>
      <c r="B694" s="65" t="s">
        <v>2227</v>
      </c>
    </row>
    <row r="695" spans="1:2" x14ac:dyDescent="0.2">
      <c r="A695" s="116">
        <v>2.6</v>
      </c>
      <c r="B695" s="65" t="s">
        <v>2228</v>
      </c>
    </row>
    <row r="696" spans="1:2" x14ac:dyDescent="0.2">
      <c r="A696" s="116" t="s">
        <v>2229</v>
      </c>
      <c r="B696" s="65" t="s">
        <v>2230</v>
      </c>
    </row>
    <row r="697" spans="1:2" x14ac:dyDescent="0.2">
      <c r="A697" s="116">
        <v>3.1</v>
      </c>
      <c r="B697" s="65" t="s">
        <v>2231</v>
      </c>
    </row>
    <row r="698" spans="1:2" x14ac:dyDescent="0.2">
      <c r="A698" s="116">
        <v>3.2</v>
      </c>
      <c r="B698" s="65" t="s">
        <v>2232</v>
      </c>
    </row>
    <row r="699" spans="1:2" x14ac:dyDescent="0.2">
      <c r="A699" s="116" t="s">
        <v>768</v>
      </c>
      <c r="B699" s="65" t="s">
        <v>2233</v>
      </c>
    </row>
    <row r="700" spans="1:2" x14ac:dyDescent="0.2">
      <c r="A700" s="116" t="s">
        <v>776</v>
      </c>
      <c r="B700" s="65" t="s">
        <v>2234</v>
      </c>
    </row>
    <row r="701" spans="1:2" x14ac:dyDescent="0.2">
      <c r="A701" s="116" t="s">
        <v>1340</v>
      </c>
      <c r="B701" s="65" t="s">
        <v>2235</v>
      </c>
    </row>
    <row r="702" spans="1:2" x14ac:dyDescent="0.2">
      <c r="A702" s="116">
        <v>3.3</v>
      </c>
      <c r="B702" s="65" t="s">
        <v>2236</v>
      </c>
    </row>
    <row r="703" spans="1:2" x14ac:dyDescent="0.2">
      <c r="A703" s="116">
        <v>3.4</v>
      </c>
      <c r="B703" s="65" t="s">
        <v>2237</v>
      </c>
    </row>
    <row r="704" spans="1:2" x14ac:dyDescent="0.2">
      <c r="A704" s="116" t="s">
        <v>1358</v>
      </c>
      <c r="B704" s="65" t="s">
        <v>2238</v>
      </c>
    </row>
    <row r="705" spans="1:2" x14ac:dyDescent="0.2">
      <c r="A705" s="116">
        <v>3.5</v>
      </c>
      <c r="B705" s="65" t="s">
        <v>2239</v>
      </c>
    </row>
    <row r="706" spans="1:2" x14ac:dyDescent="0.2">
      <c r="A706" s="116" t="s">
        <v>729</v>
      </c>
      <c r="B706" s="65" t="s">
        <v>2240</v>
      </c>
    </row>
    <row r="707" spans="1:2" x14ac:dyDescent="0.2">
      <c r="A707" s="116" t="s">
        <v>1375</v>
      </c>
      <c r="B707" s="65" t="s">
        <v>2241</v>
      </c>
    </row>
    <row r="708" spans="1:2" x14ac:dyDescent="0.2">
      <c r="A708" s="116" t="s">
        <v>1377</v>
      </c>
      <c r="B708" s="65" t="s">
        <v>2242</v>
      </c>
    </row>
    <row r="709" spans="1:2" x14ac:dyDescent="0.2">
      <c r="A709" s="116" t="s">
        <v>1379</v>
      </c>
      <c r="B709" s="65" t="s">
        <v>2243</v>
      </c>
    </row>
    <row r="710" spans="1:2" x14ac:dyDescent="0.2">
      <c r="A710" s="116">
        <v>3.6</v>
      </c>
      <c r="B710" s="65" t="s">
        <v>2244</v>
      </c>
    </row>
    <row r="711" spans="1:2" x14ac:dyDescent="0.2">
      <c r="A711" s="116" t="s">
        <v>1391</v>
      </c>
      <c r="B711" s="65" t="s">
        <v>2245</v>
      </c>
    </row>
    <row r="712" spans="1:2" x14ac:dyDescent="0.2">
      <c r="A712" s="116" t="s">
        <v>755</v>
      </c>
      <c r="B712" s="65" t="s">
        <v>2246</v>
      </c>
    </row>
    <row r="713" spans="1:2" x14ac:dyDescent="0.2">
      <c r="A713" s="116" t="s">
        <v>1394</v>
      </c>
      <c r="B713" s="65" t="s">
        <v>2247</v>
      </c>
    </row>
    <row r="714" spans="1:2" x14ac:dyDescent="0.2">
      <c r="A714" s="116" t="s">
        <v>2248</v>
      </c>
      <c r="B714" s="65" t="s">
        <v>2249</v>
      </c>
    </row>
    <row r="715" spans="1:2" x14ac:dyDescent="0.2">
      <c r="A715" s="116" t="s">
        <v>2250</v>
      </c>
      <c r="B715" s="65" t="s">
        <v>2251</v>
      </c>
    </row>
    <row r="716" spans="1:2" x14ac:dyDescent="0.2">
      <c r="A716" s="116" t="s">
        <v>2252</v>
      </c>
      <c r="B716" s="65" t="s">
        <v>2253</v>
      </c>
    </row>
    <row r="717" spans="1:2" x14ac:dyDescent="0.2">
      <c r="A717" s="116" t="s">
        <v>2254</v>
      </c>
      <c r="B717" s="65" t="s">
        <v>2255</v>
      </c>
    </row>
    <row r="718" spans="1:2" x14ac:dyDescent="0.2">
      <c r="A718" s="116" t="s">
        <v>2256</v>
      </c>
      <c r="B718" s="65" t="s">
        <v>2257</v>
      </c>
    </row>
    <row r="719" spans="1:2" x14ac:dyDescent="0.2">
      <c r="A719" s="116">
        <v>3.7</v>
      </c>
      <c r="B719" s="65" t="s">
        <v>2258</v>
      </c>
    </row>
    <row r="720" spans="1:2" x14ac:dyDescent="0.2">
      <c r="A720" s="116" t="s">
        <v>2259</v>
      </c>
      <c r="B720" s="65" t="s">
        <v>2260</v>
      </c>
    </row>
    <row r="721" spans="1:2" x14ac:dyDescent="0.2">
      <c r="A721" s="116">
        <v>4.0999999999999996</v>
      </c>
      <c r="B721" s="65" t="s">
        <v>2261</v>
      </c>
    </row>
    <row r="722" spans="1:2" x14ac:dyDescent="0.2">
      <c r="A722" s="116" t="s">
        <v>2262</v>
      </c>
      <c r="B722" s="65" t="s">
        <v>2263</v>
      </c>
    </row>
    <row r="723" spans="1:2" x14ac:dyDescent="0.2">
      <c r="A723" s="116">
        <v>4.2</v>
      </c>
      <c r="B723" s="65" t="s">
        <v>2264</v>
      </c>
    </row>
    <row r="724" spans="1:2" x14ac:dyDescent="0.2">
      <c r="A724" s="116">
        <v>4.3</v>
      </c>
      <c r="B724" s="65" t="s">
        <v>2265</v>
      </c>
    </row>
    <row r="725" spans="1:2" x14ac:dyDescent="0.2">
      <c r="A725" s="116" t="s">
        <v>2266</v>
      </c>
      <c r="B725" s="65" t="s">
        <v>2267</v>
      </c>
    </row>
    <row r="726" spans="1:2" x14ac:dyDescent="0.2">
      <c r="A726" s="116">
        <v>5.0999999999999996</v>
      </c>
      <c r="B726" s="65" t="s">
        <v>2268</v>
      </c>
    </row>
    <row r="727" spans="1:2" x14ac:dyDescent="0.2">
      <c r="A727" s="116" t="s">
        <v>691</v>
      </c>
      <c r="B727" s="65" t="s">
        <v>2269</v>
      </c>
    </row>
    <row r="728" spans="1:2" x14ac:dyDescent="0.2">
      <c r="A728" s="116" t="s">
        <v>923</v>
      </c>
      <c r="B728" s="65" t="s">
        <v>2270</v>
      </c>
    </row>
    <row r="729" spans="1:2" x14ac:dyDescent="0.2">
      <c r="A729" s="116">
        <v>5.2</v>
      </c>
      <c r="B729" s="65" t="s">
        <v>2271</v>
      </c>
    </row>
    <row r="730" spans="1:2" x14ac:dyDescent="0.2">
      <c r="A730" s="116">
        <v>5.3</v>
      </c>
      <c r="B730" s="65" t="s">
        <v>2272</v>
      </c>
    </row>
    <row r="731" spans="1:2" x14ac:dyDescent="0.2">
      <c r="A731" s="116">
        <v>5.4</v>
      </c>
      <c r="B731" s="65" t="s">
        <v>2273</v>
      </c>
    </row>
    <row r="732" spans="1:2" x14ac:dyDescent="0.2">
      <c r="A732" s="116" t="s">
        <v>2274</v>
      </c>
      <c r="B732" s="65" t="s">
        <v>2275</v>
      </c>
    </row>
    <row r="733" spans="1:2" x14ac:dyDescent="0.2">
      <c r="A733" s="116">
        <v>6.1</v>
      </c>
      <c r="B733" s="65" t="s">
        <v>2276</v>
      </c>
    </row>
    <row r="734" spans="1:2" x14ac:dyDescent="0.2">
      <c r="A734" s="116">
        <v>6.2</v>
      </c>
      <c r="B734" s="65" t="s">
        <v>2277</v>
      </c>
    </row>
    <row r="735" spans="1:2" x14ac:dyDescent="0.2">
      <c r="A735" s="116">
        <v>6.3</v>
      </c>
      <c r="B735" s="65" t="s">
        <v>2278</v>
      </c>
    </row>
    <row r="736" spans="1:2" x14ac:dyDescent="0.2">
      <c r="A736" s="116" t="s">
        <v>2279</v>
      </c>
      <c r="B736" s="65" t="s">
        <v>2280</v>
      </c>
    </row>
    <row r="737" spans="1:2" x14ac:dyDescent="0.2">
      <c r="A737" s="116" t="s">
        <v>2156</v>
      </c>
      <c r="B737" s="65" t="s">
        <v>2281</v>
      </c>
    </row>
    <row r="738" spans="1:2" x14ac:dyDescent="0.2">
      <c r="A738" s="116">
        <v>6.4</v>
      </c>
      <c r="B738" s="65" t="s">
        <v>2282</v>
      </c>
    </row>
    <row r="739" spans="1:2" x14ac:dyDescent="0.2">
      <c r="A739" s="116" t="s">
        <v>2283</v>
      </c>
      <c r="B739" s="65" t="s">
        <v>2284</v>
      </c>
    </row>
    <row r="740" spans="1:2" x14ac:dyDescent="0.2">
      <c r="A740" s="116" t="s">
        <v>2285</v>
      </c>
      <c r="B740" s="65" t="s">
        <v>2286</v>
      </c>
    </row>
    <row r="741" spans="1:2" x14ac:dyDescent="0.2">
      <c r="A741" s="116" t="s">
        <v>2287</v>
      </c>
      <c r="B741" s="65" t="s">
        <v>2288</v>
      </c>
    </row>
    <row r="742" spans="1:2" x14ac:dyDescent="0.2">
      <c r="A742" s="116" t="s">
        <v>2289</v>
      </c>
      <c r="B742" s="65" t="s">
        <v>2290</v>
      </c>
    </row>
    <row r="743" spans="1:2" x14ac:dyDescent="0.2">
      <c r="A743" s="116" t="s">
        <v>2154</v>
      </c>
      <c r="B743" s="65" t="s">
        <v>2291</v>
      </c>
    </row>
    <row r="744" spans="1:2" x14ac:dyDescent="0.2">
      <c r="A744" s="116" t="s">
        <v>2292</v>
      </c>
      <c r="B744" s="65" t="s">
        <v>2293</v>
      </c>
    </row>
    <row r="745" spans="1:2" x14ac:dyDescent="0.2">
      <c r="A745" s="116" t="s">
        <v>2294</v>
      </c>
      <c r="B745" s="65" t="s">
        <v>2295</v>
      </c>
    </row>
    <row r="746" spans="1:2" x14ac:dyDescent="0.2">
      <c r="A746" s="116" t="s">
        <v>2296</v>
      </c>
      <c r="B746" s="65" t="s">
        <v>2297</v>
      </c>
    </row>
    <row r="747" spans="1:2" x14ac:dyDescent="0.2">
      <c r="A747" s="116" t="s">
        <v>2298</v>
      </c>
      <c r="B747" s="65" t="s">
        <v>2299</v>
      </c>
    </row>
    <row r="748" spans="1:2" x14ac:dyDescent="0.2">
      <c r="A748" s="116" t="s">
        <v>2300</v>
      </c>
      <c r="B748" s="65" t="s">
        <v>2301</v>
      </c>
    </row>
    <row r="749" spans="1:2" x14ac:dyDescent="0.2">
      <c r="A749" s="116">
        <v>6.5</v>
      </c>
      <c r="B749" s="65" t="s">
        <v>2302</v>
      </c>
    </row>
    <row r="750" spans="1:2" x14ac:dyDescent="0.2">
      <c r="A750" s="116" t="s">
        <v>2303</v>
      </c>
      <c r="B750" s="65" t="s">
        <v>2304</v>
      </c>
    </row>
    <row r="751" spans="1:2" x14ac:dyDescent="0.2">
      <c r="A751" s="116" t="s">
        <v>2305</v>
      </c>
      <c r="B751" s="65" t="s">
        <v>2306</v>
      </c>
    </row>
    <row r="752" spans="1:2" x14ac:dyDescent="0.2">
      <c r="A752" s="116" t="s">
        <v>2307</v>
      </c>
      <c r="B752" s="65" t="s">
        <v>2308</v>
      </c>
    </row>
    <row r="753" spans="1:2" x14ac:dyDescent="0.2">
      <c r="A753" s="116" t="s">
        <v>2309</v>
      </c>
      <c r="B753" s="65" t="s">
        <v>2310</v>
      </c>
    </row>
    <row r="754" spans="1:2" x14ac:dyDescent="0.2">
      <c r="A754" s="116" t="s">
        <v>2311</v>
      </c>
      <c r="B754" s="65" t="s">
        <v>2312</v>
      </c>
    </row>
    <row r="755" spans="1:2" x14ac:dyDescent="0.2">
      <c r="A755" s="116" t="s">
        <v>2313</v>
      </c>
      <c r="B755" s="65" t="s">
        <v>2314</v>
      </c>
    </row>
    <row r="756" spans="1:2" x14ac:dyDescent="0.2">
      <c r="A756" s="116" t="s">
        <v>2315</v>
      </c>
      <c r="B756" s="65" t="s">
        <v>2316</v>
      </c>
    </row>
    <row r="757" spans="1:2" x14ac:dyDescent="0.2">
      <c r="A757" s="116" t="s">
        <v>2317</v>
      </c>
      <c r="B757" s="65" t="s">
        <v>2318</v>
      </c>
    </row>
    <row r="758" spans="1:2" x14ac:dyDescent="0.2">
      <c r="A758" s="116" t="s">
        <v>2319</v>
      </c>
      <c r="B758" s="65" t="s">
        <v>2320</v>
      </c>
    </row>
    <row r="759" spans="1:2" x14ac:dyDescent="0.2">
      <c r="A759" s="116" t="s">
        <v>2321</v>
      </c>
      <c r="B759" s="65" t="s">
        <v>2322</v>
      </c>
    </row>
    <row r="760" spans="1:2" x14ac:dyDescent="0.2">
      <c r="A760" s="116">
        <v>6.6</v>
      </c>
      <c r="B760" s="65" t="s">
        <v>2323</v>
      </c>
    </row>
    <row r="761" spans="1:2" x14ac:dyDescent="0.2">
      <c r="A761" s="116">
        <v>6.7</v>
      </c>
      <c r="B761" s="65" t="s">
        <v>2324</v>
      </c>
    </row>
    <row r="762" spans="1:2" x14ac:dyDescent="0.2">
      <c r="A762" s="116" t="s">
        <v>2130</v>
      </c>
      <c r="B762" s="65" t="s">
        <v>2325</v>
      </c>
    </row>
    <row r="763" spans="1:2" x14ac:dyDescent="0.2">
      <c r="A763" s="116">
        <v>7.1</v>
      </c>
      <c r="B763" s="65" t="s">
        <v>2326</v>
      </c>
    </row>
    <row r="764" spans="1:2" x14ac:dyDescent="0.2">
      <c r="A764" s="116" t="s">
        <v>694</v>
      </c>
      <c r="B764" s="65" t="s">
        <v>2327</v>
      </c>
    </row>
    <row r="765" spans="1:2" x14ac:dyDescent="0.2">
      <c r="A765" s="116" t="s">
        <v>695</v>
      </c>
      <c r="B765" s="65" t="s">
        <v>2328</v>
      </c>
    </row>
    <row r="766" spans="1:2" x14ac:dyDescent="0.2">
      <c r="A766" s="116" t="s">
        <v>680</v>
      </c>
      <c r="B766" s="65" t="s">
        <v>2329</v>
      </c>
    </row>
    <row r="767" spans="1:2" x14ac:dyDescent="0.2">
      <c r="A767" s="116" t="s">
        <v>2330</v>
      </c>
      <c r="B767" s="65" t="s">
        <v>2331</v>
      </c>
    </row>
    <row r="768" spans="1:2" x14ac:dyDescent="0.2">
      <c r="A768" s="116">
        <v>7.2</v>
      </c>
      <c r="B768" s="65" t="s">
        <v>2332</v>
      </c>
    </row>
    <row r="769" spans="1:2" x14ac:dyDescent="0.2">
      <c r="A769" s="116" t="s">
        <v>940</v>
      </c>
      <c r="B769" s="65" t="s">
        <v>2333</v>
      </c>
    </row>
    <row r="770" spans="1:2" x14ac:dyDescent="0.2">
      <c r="A770" s="116" t="s">
        <v>696</v>
      </c>
      <c r="B770" s="65" t="s">
        <v>2334</v>
      </c>
    </row>
    <row r="771" spans="1:2" x14ac:dyDescent="0.2">
      <c r="A771" s="116" t="s">
        <v>943</v>
      </c>
      <c r="B771" s="65" t="s">
        <v>2335</v>
      </c>
    </row>
    <row r="772" spans="1:2" x14ac:dyDescent="0.2">
      <c r="A772" s="116">
        <v>7.3</v>
      </c>
      <c r="B772" s="65" t="s">
        <v>2336</v>
      </c>
    </row>
    <row r="773" spans="1:2" x14ac:dyDescent="0.2">
      <c r="A773" s="116" t="s">
        <v>2135</v>
      </c>
      <c r="B773" s="65" t="s">
        <v>2337</v>
      </c>
    </row>
    <row r="774" spans="1:2" x14ac:dyDescent="0.2">
      <c r="A774" s="116">
        <v>8.1</v>
      </c>
      <c r="B774" s="65" t="s">
        <v>2338</v>
      </c>
    </row>
    <row r="775" spans="1:2" x14ac:dyDescent="0.2">
      <c r="A775" s="116" t="s">
        <v>947</v>
      </c>
      <c r="B775" s="65" t="s">
        <v>2339</v>
      </c>
    </row>
    <row r="776" spans="1:2" x14ac:dyDescent="0.2">
      <c r="A776" s="116" t="s">
        <v>670</v>
      </c>
      <c r="B776" s="65" t="s">
        <v>2340</v>
      </c>
    </row>
    <row r="777" spans="1:2" x14ac:dyDescent="0.2">
      <c r="A777" s="116" t="s">
        <v>950</v>
      </c>
      <c r="B777" s="65" t="s">
        <v>2341</v>
      </c>
    </row>
    <row r="778" spans="1:2" x14ac:dyDescent="0.2">
      <c r="A778" s="116" t="s">
        <v>668</v>
      </c>
      <c r="B778" s="65" t="s">
        <v>2342</v>
      </c>
    </row>
    <row r="779" spans="1:2" x14ac:dyDescent="0.2">
      <c r="A779" s="116" t="s">
        <v>2343</v>
      </c>
      <c r="B779" s="65" t="s">
        <v>2344</v>
      </c>
    </row>
    <row r="780" spans="1:2" x14ac:dyDescent="0.2">
      <c r="A780" s="116" t="s">
        <v>2345</v>
      </c>
      <c r="B780" s="65" t="s">
        <v>2346</v>
      </c>
    </row>
    <row r="781" spans="1:2" x14ac:dyDescent="0.2">
      <c r="A781" s="116" t="s">
        <v>2347</v>
      </c>
      <c r="B781" s="65" t="s">
        <v>2348</v>
      </c>
    </row>
    <row r="782" spans="1:2" x14ac:dyDescent="0.2">
      <c r="A782" s="116" t="s">
        <v>2349</v>
      </c>
      <c r="B782" s="65" t="s">
        <v>2350</v>
      </c>
    </row>
    <row r="783" spans="1:2" x14ac:dyDescent="0.2">
      <c r="A783" s="116">
        <v>8.1999999999999993</v>
      </c>
      <c r="B783" s="65" t="s">
        <v>2351</v>
      </c>
    </row>
    <row r="784" spans="1:2" x14ac:dyDescent="0.2">
      <c r="A784" s="116" t="s">
        <v>665</v>
      </c>
      <c r="B784" s="65" t="s">
        <v>2352</v>
      </c>
    </row>
    <row r="785" spans="1:2" x14ac:dyDescent="0.2">
      <c r="A785" s="116" t="s">
        <v>954</v>
      </c>
      <c r="B785" s="65" t="s">
        <v>2353</v>
      </c>
    </row>
    <row r="786" spans="1:2" x14ac:dyDescent="0.2">
      <c r="A786" s="116" t="s">
        <v>685</v>
      </c>
      <c r="B786" s="65" t="s">
        <v>2354</v>
      </c>
    </row>
    <row r="787" spans="1:2" x14ac:dyDescent="0.2">
      <c r="A787" s="116" t="s">
        <v>2355</v>
      </c>
      <c r="B787" s="65" t="s">
        <v>2356</v>
      </c>
    </row>
    <row r="788" spans="1:2" x14ac:dyDescent="0.2">
      <c r="A788" s="116" t="s">
        <v>2357</v>
      </c>
      <c r="B788" s="65" t="s">
        <v>2358</v>
      </c>
    </row>
    <row r="789" spans="1:2" x14ac:dyDescent="0.2">
      <c r="A789" s="116" t="s">
        <v>2359</v>
      </c>
      <c r="B789" s="65" t="s">
        <v>2360</v>
      </c>
    </row>
    <row r="790" spans="1:2" x14ac:dyDescent="0.2">
      <c r="A790" s="116">
        <v>8.3000000000000007</v>
      </c>
      <c r="B790" s="65" t="s">
        <v>2361</v>
      </c>
    </row>
    <row r="791" spans="1:2" x14ac:dyDescent="0.2">
      <c r="A791" s="116" t="s">
        <v>672</v>
      </c>
      <c r="B791" s="65" t="s">
        <v>2362</v>
      </c>
    </row>
    <row r="792" spans="1:2" x14ac:dyDescent="0.2">
      <c r="A792" s="116" t="s">
        <v>958</v>
      </c>
      <c r="B792" s="65" t="s">
        <v>2363</v>
      </c>
    </row>
    <row r="793" spans="1:2" x14ac:dyDescent="0.2">
      <c r="A793" s="116">
        <v>8.4</v>
      </c>
      <c r="B793" s="65" t="s">
        <v>2364</v>
      </c>
    </row>
    <row r="794" spans="1:2" x14ac:dyDescent="0.2">
      <c r="A794" s="116">
        <v>8.5</v>
      </c>
      <c r="B794" s="65" t="s">
        <v>2365</v>
      </c>
    </row>
    <row r="795" spans="1:2" x14ac:dyDescent="0.2">
      <c r="A795" s="116" t="s">
        <v>2366</v>
      </c>
      <c r="B795" s="65" t="s">
        <v>2367</v>
      </c>
    </row>
    <row r="796" spans="1:2" x14ac:dyDescent="0.2">
      <c r="A796" s="116">
        <v>8.6</v>
      </c>
      <c r="B796" s="65" t="s">
        <v>2368</v>
      </c>
    </row>
    <row r="797" spans="1:2" x14ac:dyDescent="0.2">
      <c r="A797" s="116">
        <v>8.6999999999999993</v>
      </c>
      <c r="B797" s="65" t="s">
        <v>2369</v>
      </c>
    </row>
    <row r="798" spans="1:2" x14ac:dyDescent="0.2">
      <c r="A798" s="116">
        <v>8.8000000000000007</v>
      </c>
      <c r="B798" s="65" t="s">
        <v>2370</v>
      </c>
    </row>
    <row r="799" spans="1:2" x14ac:dyDescent="0.2">
      <c r="A799" s="116" t="s">
        <v>2149</v>
      </c>
      <c r="B799" s="65" t="s">
        <v>2371</v>
      </c>
    </row>
    <row r="800" spans="1:2" x14ac:dyDescent="0.2">
      <c r="A800" s="116">
        <v>9.1</v>
      </c>
      <c r="B800" s="65" t="s">
        <v>2372</v>
      </c>
    </row>
    <row r="801" spans="1:2" x14ac:dyDescent="0.2">
      <c r="A801" s="116" t="s">
        <v>644</v>
      </c>
      <c r="B801" s="65" t="s">
        <v>2373</v>
      </c>
    </row>
    <row r="802" spans="1:2" x14ac:dyDescent="0.2">
      <c r="A802" s="116" t="s">
        <v>640</v>
      </c>
      <c r="B802" s="65" t="s">
        <v>2374</v>
      </c>
    </row>
    <row r="803" spans="1:2" x14ac:dyDescent="0.2">
      <c r="A803" s="116" t="s">
        <v>2375</v>
      </c>
      <c r="B803" s="65" t="s">
        <v>2376</v>
      </c>
    </row>
    <row r="804" spans="1:2" x14ac:dyDescent="0.2">
      <c r="A804" s="116">
        <v>9.1999999999999993</v>
      </c>
      <c r="B804" s="65" t="s">
        <v>2377</v>
      </c>
    </row>
    <row r="805" spans="1:2" x14ac:dyDescent="0.2">
      <c r="A805" s="116">
        <v>9.3000000000000007</v>
      </c>
      <c r="B805" s="65" t="s">
        <v>2378</v>
      </c>
    </row>
    <row r="806" spans="1:2" x14ac:dyDescent="0.2">
      <c r="A806" s="116">
        <v>9.4</v>
      </c>
      <c r="B806" s="65" t="s">
        <v>2379</v>
      </c>
    </row>
    <row r="807" spans="1:2" x14ac:dyDescent="0.2">
      <c r="A807" s="116" t="s">
        <v>974</v>
      </c>
      <c r="B807" s="65" t="s">
        <v>2380</v>
      </c>
    </row>
    <row r="808" spans="1:2" x14ac:dyDescent="0.2">
      <c r="A808" s="116" t="s">
        <v>686</v>
      </c>
      <c r="B808" s="65" t="s">
        <v>2381</v>
      </c>
    </row>
    <row r="809" spans="1:2" x14ac:dyDescent="0.2">
      <c r="A809" s="116" t="s">
        <v>650</v>
      </c>
      <c r="B809" s="65" t="s">
        <v>2382</v>
      </c>
    </row>
    <row r="810" spans="1:2" x14ac:dyDescent="0.2">
      <c r="A810" s="116" t="s">
        <v>978</v>
      </c>
      <c r="B810" s="65" t="s">
        <v>2383</v>
      </c>
    </row>
    <row r="811" spans="1:2" x14ac:dyDescent="0.2">
      <c r="A811" s="116">
        <v>9.5</v>
      </c>
      <c r="B811" s="65" t="s">
        <v>2384</v>
      </c>
    </row>
    <row r="812" spans="1:2" x14ac:dyDescent="0.2">
      <c r="A812" s="116" t="s">
        <v>2385</v>
      </c>
      <c r="B812" s="65" t="s">
        <v>2386</v>
      </c>
    </row>
    <row r="813" spans="1:2" x14ac:dyDescent="0.2">
      <c r="A813" s="116">
        <v>9.6</v>
      </c>
      <c r="B813" s="65" t="s">
        <v>2387</v>
      </c>
    </row>
    <row r="814" spans="1:2" x14ac:dyDescent="0.2">
      <c r="A814" s="116" t="s">
        <v>2388</v>
      </c>
      <c r="B814" s="65" t="s">
        <v>2389</v>
      </c>
    </row>
    <row r="815" spans="1:2" x14ac:dyDescent="0.2">
      <c r="A815" s="116" t="s">
        <v>2390</v>
      </c>
      <c r="B815" s="65" t="s">
        <v>2391</v>
      </c>
    </row>
    <row r="816" spans="1:2" x14ac:dyDescent="0.2">
      <c r="A816" s="116" t="s">
        <v>2392</v>
      </c>
      <c r="B816" s="65" t="s">
        <v>2393</v>
      </c>
    </row>
    <row r="817" spans="1:2" x14ac:dyDescent="0.2">
      <c r="A817" s="116">
        <v>9.6999999999999993</v>
      </c>
      <c r="B817" s="65" t="s">
        <v>2394</v>
      </c>
    </row>
    <row r="818" spans="1:2" x14ac:dyDescent="0.2">
      <c r="A818" s="116" t="s">
        <v>2395</v>
      </c>
      <c r="B818" s="65" t="s">
        <v>2396</v>
      </c>
    </row>
    <row r="819" spans="1:2" x14ac:dyDescent="0.2">
      <c r="A819" s="116">
        <v>9.8000000000000007</v>
      </c>
      <c r="B819" s="65" t="s">
        <v>2397</v>
      </c>
    </row>
    <row r="820" spans="1:2" x14ac:dyDescent="0.2">
      <c r="A820" s="116" t="s">
        <v>2398</v>
      </c>
      <c r="B820" s="65" t="s">
        <v>2399</v>
      </c>
    </row>
    <row r="821" spans="1:2" x14ac:dyDescent="0.2">
      <c r="A821" s="116" t="s">
        <v>2400</v>
      </c>
      <c r="B821" s="65" t="s">
        <v>2401</v>
      </c>
    </row>
    <row r="822" spans="1:2" x14ac:dyDescent="0.2">
      <c r="A822" s="116">
        <v>9.9</v>
      </c>
      <c r="B822" s="65" t="s">
        <v>2402</v>
      </c>
    </row>
    <row r="823" spans="1:2" x14ac:dyDescent="0.2">
      <c r="A823" s="116" t="s">
        <v>2403</v>
      </c>
      <c r="B823" s="65" t="s">
        <v>2404</v>
      </c>
    </row>
    <row r="824" spans="1:2" x14ac:dyDescent="0.2">
      <c r="A824" s="116" t="s">
        <v>2405</v>
      </c>
      <c r="B824" s="65" t="s">
        <v>2406</v>
      </c>
    </row>
    <row r="825" spans="1:2" x14ac:dyDescent="0.2">
      <c r="A825" s="116" t="s">
        <v>2407</v>
      </c>
      <c r="B825" s="65" t="s">
        <v>2408</v>
      </c>
    </row>
    <row r="826" spans="1:2" x14ac:dyDescent="0.2">
      <c r="A826" s="116" t="s">
        <v>2569</v>
      </c>
      <c r="B826" s="65" t="s">
        <v>2409</v>
      </c>
    </row>
    <row r="827" spans="1:2" x14ac:dyDescent="0.2">
      <c r="A827" s="116" t="s">
        <v>2410</v>
      </c>
      <c r="B827" s="65" t="s">
        <v>2411</v>
      </c>
    </row>
    <row r="828" spans="1:2" x14ac:dyDescent="0.2">
      <c r="A828" s="116">
        <v>10.1</v>
      </c>
      <c r="B828" s="65" t="s">
        <v>2412</v>
      </c>
    </row>
    <row r="829" spans="1:2" x14ac:dyDescent="0.2">
      <c r="A829" s="116">
        <v>10.199999999999999</v>
      </c>
      <c r="B829" s="65" t="s">
        <v>2413</v>
      </c>
    </row>
    <row r="830" spans="1:2" x14ac:dyDescent="0.2">
      <c r="A830" s="116" t="s">
        <v>2414</v>
      </c>
      <c r="B830" s="65" t="s">
        <v>2415</v>
      </c>
    </row>
    <row r="831" spans="1:2" x14ac:dyDescent="0.2">
      <c r="A831" s="116" t="s">
        <v>2416</v>
      </c>
      <c r="B831" s="65" t="s">
        <v>2417</v>
      </c>
    </row>
    <row r="832" spans="1:2" x14ac:dyDescent="0.2">
      <c r="A832" s="116" t="s">
        <v>2418</v>
      </c>
      <c r="B832" s="65" t="s">
        <v>2419</v>
      </c>
    </row>
    <row r="833" spans="1:2" x14ac:dyDescent="0.2">
      <c r="A833" s="116" t="s">
        <v>2420</v>
      </c>
      <c r="B833" s="65" t="s">
        <v>2421</v>
      </c>
    </row>
    <row r="834" spans="1:2" x14ac:dyDescent="0.2">
      <c r="A834" s="116" t="s">
        <v>2422</v>
      </c>
      <c r="B834" s="65" t="s">
        <v>2423</v>
      </c>
    </row>
    <row r="835" spans="1:2" x14ac:dyDescent="0.2">
      <c r="A835" s="116" t="s">
        <v>2424</v>
      </c>
      <c r="B835" s="65" t="s">
        <v>2425</v>
      </c>
    </row>
    <row r="836" spans="1:2" x14ac:dyDescent="0.2">
      <c r="A836" s="116" t="s">
        <v>2426</v>
      </c>
      <c r="B836" s="65" t="s">
        <v>2427</v>
      </c>
    </row>
    <row r="837" spans="1:2" x14ac:dyDescent="0.2">
      <c r="A837" s="116">
        <v>10.3</v>
      </c>
      <c r="B837" s="65" t="s">
        <v>2428</v>
      </c>
    </row>
    <row r="838" spans="1:2" x14ac:dyDescent="0.2">
      <c r="A838" s="116" t="s">
        <v>2429</v>
      </c>
      <c r="B838" s="65" t="s">
        <v>2430</v>
      </c>
    </row>
    <row r="839" spans="1:2" x14ac:dyDescent="0.2">
      <c r="A839" s="116" t="s">
        <v>2431</v>
      </c>
      <c r="B839" s="65" t="s">
        <v>2432</v>
      </c>
    </row>
    <row r="840" spans="1:2" x14ac:dyDescent="0.2">
      <c r="A840" s="116" t="s">
        <v>2433</v>
      </c>
      <c r="B840" s="65" t="s">
        <v>2434</v>
      </c>
    </row>
    <row r="841" spans="1:2" x14ac:dyDescent="0.2">
      <c r="A841" s="116" t="s">
        <v>2435</v>
      </c>
      <c r="B841" s="65" t="s">
        <v>2436</v>
      </c>
    </row>
    <row r="842" spans="1:2" x14ac:dyDescent="0.2">
      <c r="A842" s="116" t="s">
        <v>2437</v>
      </c>
      <c r="B842" s="65" t="s">
        <v>2438</v>
      </c>
    </row>
    <row r="843" spans="1:2" x14ac:dyDescent="0.2">
      <c r="A843" s="116" t="s">
        <v>2439</v>
      </c>
      <c r="B843" s="65" t="s">
        <v>2440</v>
      </c>
    </row>
    <row r="844" spans="1:2" x14ac:dyDescent="0.2">
      <c r="A844" s="116">
        <v>10.4</v>
      </c>
      <c r="B844" s="65" t="s">
        <v>2441</v>
      </c>
    </row>
    <row r="845" spans="1:2" x14ac:dyDescent="0.2">
      <c r="A845" s="116" t="s">
        <v>2442</v>
      </c>
      <c r="B845" s="65" t="s">
        <v>2443</v>
      </c>
    </row>
    <row r="846" spans="1:2" x14ac:dyDescent="0.2">
      <c r="A846" s="116" t="s">
        <v>2444</v>
      </c>
      <c r="B846" s="65" t="s">
        <v>2445</v>
      </c>
    </row>
    <row r="847" spans="1:2" x14ac:dyDescent="0.2">
      <c r="A847" s="116" t="s">
        <v>2446</v>
      </c>
      <c r="B847" s="65" t="s">
        <v>2447</v>
      </c>
    </row>
    <row r="848" spans="1:2" x14ac:dyDescent="0.2">
      <c r="A848" s="116">
        <v>10.5</v>
      </c>
      <c r="B848" s="65" t="s">
        <v>2448</v>
      </c>
    </row>
    <row r="849" spans="1:2" x14ac:dyDescent="0.2">
      <c r="A849" s="116" t="s">
        <v>2449</v>
      </c>
      <c r="B849" s="65" t="s">
        <v>2450</v>
      </c>
    </row>
    <row r="850" spans="1:2" x14ac:dyDescent="0.2">
      <c r="A850" s="116" t="s">
        <v>2451</v>
      </c>
      <c r="B850" s="65" t="s">
        <v>2452</v>
      </c>
    </row>
    <row r="851" spans="1:2" x14ac:dyDescent="0.2">
      <c r="A851" s="116" t="s">
        <v>2453</v>
      </c>
      <c r="B851" s="65" t="s">
        <v>2454</v>
      </c>
    </row>
    <row r="852" spans="1:2" x14ac:dyDescent="0.2">
      <c r="A852" s="116" t="s">
        <v>2455</v>
      </c>
      <c r="B852" s="65" t="s">
        <v>2456</v>
      </c>
    </row>
    <row r="853" spans="1:2" x14ac:dyDescent="0.2">
      <c r="A853" s="116" t="s">
        <v>2457</v>
      </c>
      <c r="B853" s="65" t="s">
        <v>2458</v>
      </c>
    </row>
    <row r="854" spans="1:2" x14ac:dyDescent="0.2">
      <c r="A854" s="116">
        <v>10.6</v>
      </c>
      <c r="B854" s="65" t="s">
        <v>2459</v>
      </c>
    </row>
    <row r="855" spans="1:2" x14ac:dyDescent="0.2">
      <c r="A855" s="116" t="s">
        <v>2460</v>
      </c>
      <c r="B855" s="65" t="s">
        <v>2461</v>
      </c>
    </row>
    <row r="856" spans="1:2" x14ac:dyDescent="0.2">
      <c r="A856" s="116" t="s">
        <v>2462</v>
      </c>
      <c r="B856" s="65" t="s">
        <v>2463</v>
      </c>
    </row>
    <row r="857" spans="1:2" x14ac:dyDescent="0.2">
      <c r="A857" s="116" t="s">
        <v>2464</v>
      </c>
      <c r="B857" s="65" t="s">
        <v>2465</v>
      </c>
    </row>
    <row r="858" spans="1:2" x14ac:dyDescent="0.2">
      <c r="A858" s="116">
        <v>10.7</v>
      </c>
      <c r="B858" s="65" t="s">
        <v>2466</v>
      </c>
    </row>
    <row r="859" spans="1:2" x14ac:dyDescent="0.2">
      <c r="A859" s="116">
        <v>10.8</v>
      </c>
      <c r="B859" s="65" t="s">
        <v>2467</v>
      </c>
    </row>
    <row r="860" spans="1:2" x14ac:dyDescent="0.2">
      <c r="A860" s="116" t="s">
        <v>2468</v>
      </c>
      <c r="B860" s="65" t="s">
        <v>2469</v>
      </c>
    </row>
    <row r="861" spans="1:2" x14ac:dyDescent="0.2">
      <c r="A861" s="116">
        <v>10.9</v>
      </c>
      <c r="B861" s="65" t="s">
        <v>2470</v>
      </c>
    </row>
    <row r="862" spans="1:2" x14ac:dyDescent="0.2">
      <c r="A862" s="116" t="s">
        <v>2471</v>
      </c>
      <c r="B862" s="65" t="s">
        <v>2472</v>
      </c>
    </row>
    <row r="863" spans="1:2" x14ac:dyDescent="0.2">
      <c r="A863" s="116">
        <v>11.1</v>
      </c>
      <c r="B863" s="65" t="s">
        <v>2473</v>
      </c>
    </row>
    <row r="864" spans="1:2" x14ac:dyDescent="0.2">
      <c r="A864" s="116" t="s">
        <v>675</v>
      </c>
      <c r="B864" s="65" t="s">
        <v>2474</v>
      </c>
    </row>
    <row r="865" spans="1:2" x14ac:dyDescent="0.2">
      <c r="A865" s="116" t="s">
        <v>688</v>
      </c>
      <c r="B865" s="65" t="s">
        <v>2475</v>
      </c>
    </row>
    <row r="866" spans="1:2" x14ac:dyDescent="0.2">
      <c r="A866" s="116">
        <v>11.2</v>
      </c>
      <c r="B866" s="65" t="s">
        <v>2476</v>
      </c>
    </row>
    <row r="867" spans="1:2" x14ac:dyDescent="0.2">
      <c r="A867" s="116" t="s">
        <v>677</v>
      </c>
      <c r="B867" s="65" t="s">
        <v>2477</v>
      </c>
    </row>
    <row r="868" spans="1:2" x14ac:dyDescent="0.2">
      <c r="A868" s="116" t="s">
        <v>994</v>
      </c>
      <c r="B868" s="65" t="s">
        <v>2478</v>
      </c>
    </row>
    <row r="869" spans="1:2" x14ac:dyDescent="0.2">
      <c r="A869" s="116" t="s">
        <v>996</v>
      </c>
      <c r="B869" s="65" t="s">
        <v>2479</v>
      </c>
    </row>
    <row r="870" spans="1:2" x14ac:dyDescent="0.2">
      <c r="A870" s="116">
        <v>11.3</v>
      </c>
      <c r="B870" s="65" t="s">
        <v>2480</v>
      </c>
    </row>
    <row r="871" spans="1:2" x14ac:dyDescent="0.2">
      <c r="A871" s="116" t="s">
        <v>2481</v>
      </c>
      <c r="B871" s="65" t="s">
        <v>2482</v>
      </c>
    </row>
    <row r="872" spans="1:2" x14ac:dyDescent="0.2">
      <c r="A872" s="116" t="s">
        <v>2483</v>
      </c>
      <c r="B872" s="65" t="s">
        <v>2484</v>
      </c>
    </row>
    <row r="873" spans="1:2" x14ac:dyDescent="0.2">
      <c r="A873" s="116" t="s">
        <v>2485</v>
      </c>
      <c r="B873" s="65" t="s">
        <v>2486</v>
      </c>
    </row>
    <row r="874" spans="1:2" x14ac:dyDescent="0.2">
      <c r="A874" s="116" t="s">
        <v>2487</v>
      </c>
      <c r="B874" s="65" t="s">
        <v>2488</v>
      </c>
    </row>
    <row r="875" spans="1:2" x14ac:dyDescent="0.2">
      <c r="A875" s="116" t="s">
        <v>2489</v>
      </c>
      <c r="B875" s="65" t="s">
        <v>2490</v>
      </c>
    </row>
    <row r="876" spans="1:2" x14ac:dyDescent="0.2">
      <c r="A876" s="116">
        <v>11.4</v>
      </c>
      <c r="B876" s="65" t="s">
        <v>2491</v>
      </c>
    </row>
    <row r="877" spans="1:2" x14ac:dyDescent="0.2">
      <c r="A877" s="116">
        <v>11.5</v>
      </c>
      <c r="B877" s="65" t="s">
        <v>2492</v>
      </c>
    </row>
    <row r="878" spans="1:2" x14ac:dyDescent="0.2">
      <c r="A878" s="116" t="s">
        <v>2493</v>
      </c>
      <c r="B878" s="65" t="s">
        <v>2494</v>
      </c>
    </row>
    <row r="879" spans="1:2" x14ac:dyDescent="0.2">
      <c r="A879" s="116">
        <v>11.6</v>
      </c>
      <c r="B879" s="65" t="s">
        <v>2495</v>
      </c>
    </row>
    <row r="880" spans="1:2" x14ac:dyDescent="0.2">
      <c r="A880" s="116" t="s">
        <v>2132</v>
      </c>
      <c r="B880" s="65" t="s">
        <v>2496</v>
      </c>
    </row>
    <row r="881" spans="1:2" x14ac:dyDescent="0.2">
      <c r="A881" s="116">
        <v>12.1</v>
      </c>
      <c r="B881" s="65" t="s">
        <v>2497</v>
      </c>
    </row>
    <row r="882" spans="1:2" x14ac:dyDescent="0.2">
      <c r="A882" s="116" t="s">
        <v>646</v>
      </c>
      <c r="B882" s="65" t="s">
        <v>2498</v>
      </c>
    </row>
    <row r="883" spans="1:2" x14ac:dyDescent="0.2">
      <c r="A883" s="116">
        <v>12.2</v>
      </c>
      <c r="B883" s="65" t="s">
        <v>2499</v>
      </c>
    </row>
    <row r="884" spans="1:2" x14ac:dyDescent="0.2">
      <c r="A884" s="116">
        <v>12.3</v>
      </c>
      <c r="B884" s="65" t="s">
        <v>2500</v>
      </c>
    </row>
    <row r="885" spans="1:2" x14ac:dyDescent="0.2">
      <c r="A885" s="116" t="s">
        <v>669</v>
      </c>
      <c r="B885" s="65" t="s">
        <v>2501</v>
      </c>
    </row>
    <row r="886" spans="1:2" x14ac:dyDescent="0.2">
      <c r="A886" s="116" t="s">
        <v>2502</v>
      </c>
      <c r="B886" s="65" t="s">
        <v>2503</v>
      </c>
    </row>
    <row r="887" spans="1:2" x14ac:dyDescent="0.2">
      <c r="A887" s="116" t="s">
        <v>2504</v>
      </c>
      <c r="B887" s="65" t="s">
        <v>2505</v>
      </c>
    </row>
    <row r="888" spans="1:2" x14ac:dyDescent="0.2">
      <c r="A888" s="116" t="s">
        <v>2506</v>
      </c>
      <c r="B888" s="65" t="s">
        <v>2507</v>
      </c>
    </row>
    <row r="889" spans="1:2" x14ac:dyDescent="0.2">
      <c r="A889" s="116" t="s">
        <v>2508</v>
      </c>
      <c r="B889" s="65" t="s">
        <v>2509</v>
      </c>
    </row>
    <row r="890" spans="1:2" x14ac:dyDescent="0.2">
      <c r="A890" s="116" t="s">
        <v>2510</v>
      </c>
      <c r="B890" s="65" t="s">
        <v>2511</v>
      </c>
    </row>
    <row r="891" spans="1:2" x14ac:dyDescent="0.2">
      <c r="A891" s="116" t="s">
        <v>2512</v>
      </c>
      <c r="B891" s="65" t="s">
        <v>2513</v>
      </c>
    </row>
    <row r="892" spans="1:2" x14ac:dyDescent="0.2">
      <c r="A892" s="116" t="s">
        <v>2514</v>
      </c>
      <c r="B892" s="65" t="s">
        <v>2515</v>
      </c>
    </row>
    <row r="893" spans="1:2" x14ac:dyDescent="0.2">
      <c r="A893" s="116" t="s">
        <v>2516</v>
      </c>
      <c r="B893" s="65" t="s">
        <v>2517</v>
      </c>
    </row>
    <row r="894" spans="1:2" x14ac:dyDescent="0.2">
      <c r="A894" s="116" t="s">
        <v>2518</v>
      </c>
      <c r="B894" s="65" t="s">
        <v>2519</v>
      </c>
    </row>
    <row r="895" spans="1:2" x14ac:dyDescent="0.2">
      <c r="A895" s="116">
        <v>12.4</v>
      </c>
      <c r="B895" s="65" t="s">
        <v>2520</v>
      </c>
    </row>
    <row r="896" spans="1:2" x14ac:dyDescent="0.2">
      <c r="A896" s="116" t="s">
        <v>683</v>
      </c>
      <c r="B896" s="65" t="s">
        <v>2521</v>
      </c>
    </row>
    <row r="897" spans="1:2" x14ac:dyDescent="0.2">
      <c r="A897" s="116">
        <v>12.5</v>
      </c>
      <c r="B897" s="65" t="s">
        <v>2522</v>
      </c>
    </row>
    <row r="898" spans="1:2" x14ac:dyDescent="0.2">
      <c r="A898" s="116" t="s">
        <v>645</v>
      </c>
      <c r="B898" s="65" t="s">
        <v>2523</v>
      </c>
    </row>
    <row r="899" spans="1:2" x14ac:dyDescent="0.2">
      <c r="A899" s="116" t="s">
        <v>2524</v>
      </c>
      <c r="B899" s="65" t="s">
        <v>2525</v>
      </c>
    </row>
    <row r="900" spans="1:2" x14ac:dyDescent="0.2">
      <c r="A900" s="116" t="s">
        <v>2526</v>
      </c>
      <c r="B900" s="65" t="s">
        <v>2527</v>
      </c>
    </row>
    <row r="901" spans="1:2" x14ac:dyDescent="0.2">
      <c r="A901" s="116" t="s">
        <v>2528</v>
      </c>
      <c r="B901" s="65" t="s">
        <v>2529</v>
      </c>
    </row>
    <row r="902" spans="1:2" x14ac:dyDescent="0.2">
      <c r="A902" s="116" t="s">
        <v>2530</v>
      </c>
      <c r="B902" s="65" t="s">
        <v>2531</v>
      </c>
    </row>
    <row r="903" spans="1:2" x14ac:dyDescent="0.2">
      <c r="A903" s="116">
        <v>12.6</v>
      </c>
      <c r="B903" s="65" t="s">
        <v>2532</v>
      </c>
    </row>
    <row r="904" spans="1:2" x14ac:dyDescent="0.2">
      <c r="A904" s="116" t="s">
        <v>664</v>
      </c>
      <c r="B904" s="65" t="s">
        <v>2533</v>
      </c>
    </row>
    <row r="905" spans="1:2" x14ac:dyDescent="0.2">
      <c r="A905" s="116" t="s">
        <v>1026</v>
      </c>
      <c r="B905" s="65" t="s">
        <v>2534</v>
      </c>
    </row>
    <row r="906" spans="1:2" x14ac:dyDescent="0.2">
      <c r="A906" s="116">
        <v>12.7</v>
      </c>
      <c r="B906" s="65" t="s">
        <v>2535</v>
      </c>
    </row>
    <row r="907" spans="1:2" x14ac:dyDescent="0.2">
      <c r="A907" s="116">
        <v>12.8</v>
      </c>
      <c r="B907" s="65" t="s">
        <v>2536</v>
      </c>
    </row>
    <row r="908" spans="1:2" x14ac:dyDescent="0.2">
      <c r="A908" s="116" t="s">
        <v>2537</v>
      </c>
      <c r="B908" s="65" t="s">
        <v>2538</v>
      </c>
    </row>
    <row r="909" spans="1:2" x14ac:dyDescent="0.2">
      <c r="A909" s="116" t="s">
        <v>2539</v>
      </c>
      <c r="B909" s="65" t="s">
        <v>2540</v>
      </c>
    </row>
    <row r="910" spans="1:2" x14ac:dyDescent="0.2">
      <c r="A910" s="116" t="s">
        <v>2541</v>
      </c>
      <c r="B910" s="65" t="s">
        <v>2542</v>
      </c>
    </row>
    <row r="911" spans="1:2" x14ac:dyDescent="0.2">
      <c r="A911" s="116" t="s">
        <v>2543</v>
      </c>
      <c r="B911" s="65" t="s">
        <v>2544</v>
      </c>
    </row>
    <row r="912" spans="1:2" x14ac:dyDescent="0.2">
      <c r="A912" s="116" t="s">
        <v>2545</v>
      </c>
      <c r="B912" s="65" t="s">
        <v>2546</v>
      </c>
    </row>
    <row r="913" spans="1:2" x14ac:dyDescent="0.2">
      <c r="A913" s="116">
        <v>12.9</v>
      </c>
      <c r="B913" s="65" t="s">
        <v>2547</v>
      </c>
    </row>
    <row r="914" spans="1:2" x14ac:dyDescent="0.2">
      <c r="A914" s="116" t="s">
        <v>2568</v>
      </c>
      <c r="B914" s="65" t="s">
        <v>2548</v>
      </c>
    </row>
    <row r="915" spans="1:2" x14ac:dyDescent="0.2">
      <c r="A915" s="116" t="s">
        <v>2549</v>
      </c>
      <c r="B915" s="65" t="s">
        <v>2550</v>
      </c>
    </row>
    <row r="916" spans="1:2" x14ac:dyDescent="0.2">
      <c r="A916" s="116" t="s">
        <v>2551</v>
      </c>
      <c r="B916" s="65" t="s">
        <v>2552</v>
      </c>
    </row>
    <row r="917" spans="1:2" x14ac:dyDescent="0.2">
      <c r="A917" s="116" t="s">
        <v>2553</v>
      </c>
      <c r="B917" s="65" t="s">
        <v>2554</v>
      </c>
    </row>
    <row r="918" spans="1:2" x14ac:dyDescent="0.2">
      <c r="A918" s="116" t="s">
        <v>2555</v>
      </c>
      <c r="B918" s="65" t="s">
        <v>2556</v>
      </c>
    </row>
    <row r="919" spans="1:2" x14ac:dyDescent="0.2">
      <c r="A919" s="116" t="s">
        <v>2557</v>
      </c>
      <c r="B919" s="65" t="s">
        <v>2558</v>
      </c>
    </row>
    <row r="920" spans="1:2" x14ac:dyDescent="0.2">
      <c r="A920" s="116" t="s">
        <v>2559</v>
      </c>
      <c r="B920" s="65" t="s">
        <v>2560</v>
      </c>
    </row>
    <row r="921" spans="1:2" x14ac:dyDescent="0.2">
      <c r="A921" s="116">
        <v>12.11</v>
      </c>
      <c r="B921" s="65" t="s">
        <v>2561</v>
      </c>
    </row>
    <row r="922" spans="1:2" x14ac:dyDescent="0.2">
      <c r="A922" s="116" t="s">
        <v>2562</v>
      </c>
      <c r="B922" s="65" t="s">
        <v>2563</v>
      </c>
    </row>
    <row r="923" spans="1:2" ht="30" x14ac:dyDescent="0.2">
      <c r="A923" s="110" t="s">
        <v>2127</v>
      </c>
      <c r="B923" s="65" t="s">
        <v>2564</v>
      </c>
    </row>
    <row r="924" spans="1:2" x14ac:dyDescent="0.2">
      <c r="A924" s="111" t="s">
        <v>632</v>
      </c>
      <c r="B924" s="65" t="s">
        <v>2565</v>
      </c>
    </row>
    <row r="925" spans="1:2" x14ac:dyDescent="0.2">
      <c r="A925" s="111" t="s">
        <v>2126</v>
      </c>
      <c r="B925" s="65" t="str">
        <f>CONCATENATE(B923,"; ",B924)</f>
        <v>All system components included in or connected to the cardholder data environment (CDE); The process of determining the CDE and subsequent PCI scope</v>
      </c>
    </row>
    <row r="926" spans="1:2" s="109" customFormat="1" x14ac:dyDescent="0.2">
      <c r="A926" s="111" t="s">
        <v>2134</v>
      </c>
      <c r="B926" s="65" t="str">
        <f>B923</f>
        <v>All system components included in or connected to the cardholder data environment (CDE)</v>
      </c>
    </row>
    <row r="927" spans="1:2" ht="28.5" x14ac:dyDescent="0.2">
      <c r="A927" s="112" t="s">
        <v>2128</v>
      </c>
      <c r="B927" s="65" t="str">
        <f>CONCATENATE(B914,"; ",B923)</f>
        <v>Implement an incident response plan. Be prepared to respond immediately to a system breach.; All system components included in or connected to the cardholder data environment (CDE)</v>
      </c>
    </row>
    <row r="928" spans="1:2" x14ac:dyDescent="0.2">
      <c r="A928" s="113" t="s">
        <v>2129</v>
      </c>
      <c r="B928" s="6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111" t="s">
        <v>2566</v>
      </c>
      <c r="B929" s="6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113" t="s">
        <v>2133</v>
      </c>
      <c r="B930" s="65" t="str">
        <f>CONCATENATE(B762,"; ",B773)</f>
        <v>Restrict access to cardholder data by business need to know; Assign a unique ID to each person with computer access</v>
      </c>
    </row>
    <row r="931" spans="1:2" x14ac:dyDescent="0.2">
      <c r="A931" s="112" t="s">
        <v>2136</v>
      </c>
      <c r="B931" s="6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112" t="s">
        <v>2139</v>
      </c>
      <c r="B932" s="65" t="str">
        <f>CONCATENATE(B773,"; ",B723)</f>
        <v>Assign a unique ID to each person with computer access; Never send unprotected PANs by end-user messaging technologies (for example, e-mail, instant messaging, SMS, chat, etc.).</v>
      </c>
    </row>
    <row r="933" spans="1:2" ht="85.5" x14ac:dyDescent="0.2">
      <c r="A933" s="112" t="s">
        <v>2137</v>
      </c>
      <c r="B933" s="6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112" t="s">
        <v>2140</v>
      </c>
      <c r="B934" s="6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112" t="s">
        <v>2141</v>
      </c>
      <c r="B935" s="6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112" t="s">
        <v>2142</v>
      </c>
      <c r="B936" s="6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112" t="s">
        <v>2143</v>
      </c>
      <c r="B937" s="6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114" t="s">
        <v>2144</v>
      </c>
      <c r="B938" s="6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115" t="s">
        <v>2145</v>
      </c>
      <c r="B939" s="6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115" t="s">
        <v>2146</v>
      </c>
      <c r="B940" s="6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114" t="s">
        <v>2147</v>
      </c>
      <c r="B941" s="65" t="str">
        <f>CONCATENATE(B910,"; ",B799)</f>
        <v>Ensure there is an established process for engaging service providers including proper due diligence prior to engagement.; Restrict physical access to cardholder data</v>
      </c>
    </row>
    <row r="942" spans="1:2" ht="15.75" thickBot="1" x14ac:dyDescent="0.25">
      <c r="A942" s="115" t="s">
        <v>2148</v>
      </c>
      <c r="B942" s="6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114" t="s">
        <v>2150</v>
      </c>
      <c r="B943" s="6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115" t="s">
        <v>2151</v>
      </c>
      <c r="B944" s="6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112" t="s">
        <v>2152</v>
      </c>
      <c r="B945" s="65" t="str">
        <f>CONCATENATE(B881,"; ",B799)</f>
        <v>Establish, publish, maintain, and disseminate a security policy.; Restrict physical access to cardholder data</v>
      </c>
    </row>
    <row r="946" spans="1:2" ht="28.5" x14ac:dyDescent="0.2">
      <c r="A946" s="112" t="s">
        <v>2153</v>
      </c>
      <c r="B946" s="65"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112" t="s">
        <v>2155</v>
      </c>
      <c r="B947" s="6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114" t="s">
        <v>2157</v>
      </c>
      <c r="B948" s="6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115" t="s">
        <v>2158</v>
      </c>
      <c r="B949" s="6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112" t="s">
        <v>2159</v>
      </c>
      <c r="B950" s="6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114" t="s">
        <v>2160</v>
      </c>
      <c r="B951" s="6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115" t="s">
        <v>2161</v>
      </c>
      <c r="B952" s="65" t="str">
        <f>CONCATENATE(B762,"; ",B773,"; ",B799)</f>
        <v>Restrict access to cardholder data by business need to know; Assign a unique ID to each person with computer access; Restrict physical access to cardholder data</v>
      </c>
    </row>
    <row r="953" spans="1:2" x14ac:dyDescent="0.2">
      <c r="A953" s="113" t="s">
        <v>2567</v>
      </c>
      <c r="B953" s="65"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112" t="s">
        <v>2163</v>
      </c>
      <c r="B954" s="6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114" t="s">
        <v>2164</v>
      </c>
      <c r="B955" s="6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115" t="s">
        <v>2165</v>
      </c>
      <c r="B956" s="6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112" t="s">
        <v>2166</v>
      </c>
      <c r="B957" s="65" t="str">
        <f>CONCATENATE(B914,"; ",B827)</f>
        <v>Implement an incident response plan. Be prepared to respond immediately to a system breach.; Track and monitor all access to network resources and cardholder data</v>
      </c>
    </row>
    <row r="958" spans="1:2" x14ac:dyDescent="0.2">
      <c r="B958" s="6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Y268"/>
  <sheetViews>
    <sheetView topLeftCell="F1" zoomScale="90" zoomScaleNormal="90" workbookViewId="0">
      <pane ySplit="1" topLeftCell="A2" activePane="bottomLeft" state="frozen"/>
      <selection activeCell="A956" sqref="A956"/>
      <selection pane="bottomLeft" activeCell="U2" sqref="U2"/>
    </sheetView>
  </sheetViews>
  <sheetFormatPr defaultColWidth="8.59765625" defaultRowHeight="14.25" x14ac:dyDescent="0.2"/>
  <cols>
    <col min="1" max="1" width="6" style="73" customWidth="1"/>
    <col min="2" max="2" width="8.59765625" style="73"/>
    <col min="3" max="3" width="28.5" style="73" customWidth="1"/>
    <col min="4" max="4" width="6.19921875" style="73" customWidth="1"/>
    <col min="5" max="5" width="6.09765625" style="73" customWidth="1"/>
    <col min="6" max="6" width="8.59765625" style="73"/>
    <col min="7" max="7" width="4.09765625" style="73" customWidth="1"/>
    <col min="8" max="8" width="5.09765625" style="73" customWidth="1"/>
    <col min="9" max="9" width="3.69921875" style="73" customWidth="1"/>
    <col min="10" max="10" width="3" style="73" customWidth="1"/>
    <col min="11" max="13" width="9.19921875" style="73" customWidth="1"/>
    <col min="14" max="14" width="12.09765625" style="73" customWidth="1"/>
    <col min="15" max="16" width="9.19921875" style="73" customWidth="1"/>
    <col min="17" max="17" width="11.69921875" style="73" customWidth="1"/>
    <col min="18" max="18" width="12.19921875" style="73" bestFit="1" customWidth="1"/>
    <col min="19" max="19" width="12.19921875" style="73" customWidth="1"/>
    <col min="20" max="25" width="9.69921875" style="73" customWidth="1"/>
    <col min="26" max="16384" width="8.59765625" style="73"/>
  </cols>
  <sheetData>
    <row r="1" spans="1:25" ht="72" thickBot="1" x14ac:dyDescent="0.25">
      <c r="A1" s="73" t="s">
        <v>2101</v>
      </c>
      <c r="B1" s="73" t="s">
        <v>2043</v>
      </c>
      <c r="C1" s="73" t="s">
        <v>2044</v>
      </c>
      <c r="D1" s="73" t="s">
        <v>2045</v>
      </c>
      <c r="E1" s="73" t="s">
        <v>2046</v>
      </c>
      <c r="F1" s="73" t="s">
        <v>2064</v>
      </c>
      <c r="G1" s="73" t="s">
        <v>2065</v>
      </c>
      <c r="H1" s="73" t="s">
        <v>2066</v>
      </c>
      <c r="I1" s="73" t="s">
        <v>2067</v>
      </c>
      <c r="J1" s="73" t="s">
        <v>2074</v>
      </c>
      <c r="K1" s="73" t="s">
        <v>2075</v>
      </c>
      <c r="L1" s="73" t="s">
        <v>2070</v>
      </c>
      <c r="M1" s="75" t="s">
        <v>2102</v>
      </c>
      <c r="N1" s="75" t="s">
        <v>579</v>
      </c>
      <c r="O1" s="76" t="s">
        <v>2103</v>
      </c>
      <c r="P1" s="77" t="s">
        <v>582</v>
      </c>
      <c r="Q1" s="76" t="s">
        <v>581</v>
      </c>
      <c r="R1" s="76" t="s">
        <v>580</v>
      </c>
      <c r="S1" s="76" t="s">
        <v>2063</v>
      </c>
      <c r="T1" s="78"/>
      <c r="U1" s="78" t="s">
        <v>2068</v>
      </c>
      <c r="V1" s="78" t="s">
        <v>2069</v>
      </c>
      <c r="W1" s="78" t="s">
        <v>2070</v>
      </c>
      <c r="X1" s="78" t="s">
        <v>2071</v>
      </c>
      <c r="Y1" s="78" t="s">
        <v>2072</v>
      </c>
    </row>
    <row r="2" spans="1:25" ht="72" thickBot="1" x14ac:dyDescent="0.25">
      <c r="A2" s="73">
        <v>1</v>
      </c>
      <c r="B2" s="79" t="s">
        <v>170</v>
      </c>
      <c r="C2" s="80" t="str">
        <f>VLOOKUP(B2,HECVAT!A:E,2,FALSE)</f>
        <v>Does your product process protected health information (PHI) or any data covered by the Health Insurance Portability and Accountability Act?</v>
      </c>
      <c r="D2" s="73">
        <f>VLOOKUP(B2,HECVAT!A:E,4,FALSE)</f>
        <v>0</v>
      </c>
      <c r="E2" s="81" t="b">
        <v>1</v>
      </c>
      <c r="F2" s="82" t="s">
        <v>12</v>
      </c>
      <c r="G2" s="82" t="s">
        <v>17</v>
      </c>
      <c r="H2" s="83">
        <v>1</v>
      </c>
      <c r="I2" s="73">
        <f>VLOOKUP(B2,HECVAT!A:E,3,FALSE)</f>
        <v>0</v>
      </c>
      <c r="J2" s="73">
        <v>1</v>
      </c>
      <c r="K2" s="73">
        <f>IF(Table1[[#This Row],[Column8]]=1,10,"")</f>
        <v>10</v>
      </c>
      <c r="L2" s="73">
        <f>IF(Table1[[#This Row],[Column8]]=1,J2*K2,"")</f>
        <v>10</v>
      </c>
      <c r="M2" s="74" t="str">
        <f>VLOOKUP($B2,'Standards Crosswalk'!$A:$H,3,FALSE)</f>
        <v>CSC 13</v>
      </c>
      <c r="N2" s="74" t="str">
        <f>VLOOKUP($B2,'Standards Crosswalk'!$A:$H,4,FALSE)</f>
        <v>Discovery</v>
      </c>
      <c r="O2" s="74" t="str">
        <f>VLOOKUP($B2,'Standards Crosswalk'!$A:$H,5,FALSE)</f>
        <v>18.1.1</v>
      </c>
      <c r="P2" s="74" t="str">
        <f>VLOOKUP($B2,'Standards Crosswalk'!$A:$H,6,FALSE)</f>
        <v>ID.GV-3</v>
      </c>
      <c r="Q2" s="74" t="str">
        <f>VLOOKUP($B2,'Standards Crosswalk'!$A:$H,7,FALSE)</f>
        <v>ID.GV-3</v>
      </c>
      <c r="R2" s="74" t="str">
        <f>VLOOKUP($B2,'Standards Crosswalk'!$A:$H,8,FALSE)</f>
        <v>RA-2</v>
      </c>
      <c r="S2" s="74">
        <f>VLOOKUP($B2,'Standards Crosswalk'!$A:$I,9,FALSE)</f>
        <v>0</v>
      </c>
      <c r="T2" s="79" t="s">
        <v>18</v>
      </c>
      <c r="U2" s="84">
        <f>COUNTIFS(B:B,"DOCU*",J:J,"=1")</f>
        <v>0</v>
      </c>
      <c r="V2" s="85">
        <f>COUNTIF(B:B,"DOCU*")</f>
        <v>6</v>
      </c>
      <c r="W2" s="85">
        <f>SUMIFS(L:L,B:B, "DOCU*")</f>
        <v>0</v>
      </c>
      <c r="X2" s="85">
        <f>SUMIFS(K:K,B:B, "DOCU*")</f>
        <v>105</v>
      </c>
      <c r="Y2" s="86">
        <f t="shared" ref="Y2:Y14" si="0">W2/X2</f>
        <v>0</v>
      </c>
    </row>
    <row r="3" spans="1:25" ht="43.5" thickBot="1" x14ac:dyDescent="0.25">
      <c r="A3" s="73">
        <f>A2+1</f>
        <v>2</v>
      </c>
      <c r="B3" s="79" t="s">
        <v>171</v>
      </c>
      <c r="C3" s="80" t="str">
        <f>VLOOKUP(B3,HECVAT!A:E,2,FALSE)</f>
        <v>Does the vended product host/support a mobile application? (e.g. app)</v>
      </c>
      <c r="D3" s="73">
        <f>VLOOKUP(B3,HECVAT!A:E,4,FALSE)</f>
        <v>0</v>
      </c>
      <c r="E3" s="81" t="b">
        <v>0</v>
      </c>
      <c r="F3" s="82" t="s">
        <v>12</v>
      </c>
      <c r="G3" s="82" t="s">
        <v>17</v>
      </c>
      <c r="H3" s="83">
        <v>1</v>
      </c>
      <c r="I3" s="73">
        <f>VLOOKUP(B3,HECVAT!A:E,3,FALSE)</f>
        <v>0</v>
      </c>
      <c r="J3" s="73">
        <v>1</v>
      </c>
      <c r="K3" s="73">
        <f>IF(Table1[[#This Row],[Column8]]=1,10,"")</f>
        <v>10</v>
      </c>
      <c r="L3" s="73">
        <f>IF(Table1[[#This Row],[Column8]]=1,J3*K3,"")</f>
        <v>10</v>
      </c>
      <c r="M3" s="74" t="str">
        <f>VLOOKUP($B3,'Standards Crosswalk'!$A:$H,3,FALSE)</f>
        <v>CSC 18</v>
      </c>
      <c r="N3" s="74">
        <f>VLOOKUP($B3,'Standards Crosswalk'!$A:$H,4,FALSE)</f>
        <v>0</v>
      </c>
      <c r="O3" s="74">
        <f>VLOOKUP($B3,'Standards Crosswalk'!$A:$H,5,FALSE)</f>
        <v>0</v>
      </c>
      <c r="P3" s="74">
        <f>VLOOKUP($B3,'Standards Crosswalk'!$A:$H,6,FALSE)</f>
        <v>0</v>
      </c>
      <c r="Q3" s="74">
        <f>VLOOKUP($B3,'Standards Crosswalk'!$A:$H,7,FALSE)</f>
        <v>0</v>
      </c>
      <c r="R3" s="74" t="str">
        <f>VLOOKUP($B3,'Standards Crosswalk'!$A:$H,8,FALSE)</f>
        <v>IA-2, IA-3, CM-3, SI-2</v>
      </c>
      <c r="S3" s="74">
        <f>VLOOKUP($B3,'Standards Crosswalk'!$A:$I,9,FALSE)</f>
        <v>0</v>
      </c>
      <c r="T3" s="79" t="s">
        <v>2073</v>
      </c>
      <c r="U3" s="87">
        <f>COUNTIFS(B:B,"APPL*",J:J,"=1")</f>
        <v>0</v>
      </c>
      <c r="V3" s="85">
        <f>COUNTIF(B:B,"APPL*")</f>
        <v>17</v>
      </c>
      <c r="W3" s="85">
        <f>SUMIFS(L:L,B:B, "APPL*")</f>
        <v>0</v>
      </c>
      <c r="X3" s="85">
        <f>SUMIFS(K:K,B:B, "APPL*")</f>
        <v>375</v>
      </c>
      <c r="Y3" s="86">
        <f t="shared" si="0"/>
        <v>0</v>
      </c>
    </row>
    <row r="4" spans="1:25" ht="72" thickBot="1" x14ac:dyDescent="0.25">
      <c r="A4" s="73">
        <f t="shared" ref="A4:A67" si="1">A3+1</f>
        <v>3</v>
      </c>
      <c r="B4" s="79" t="s">
        <v>172</v>
      </c>
      <c r="C4" s="80" t="str">
        <f>VLOOKUP(B4,HECVAT!A:E,2,FALSE)</f>
        <v>Will institution data be shared with or hosted by any third parties? (e.g. any entity not wholly-owned by your company is considered a third-party)</v>
      </c>
      <c r="D4" s="73">
        <f>VLOOKUP(B4,HECVAT!A:E,4,FALSE)</f>
        <v>0</v>
      </c>
      <c r="E4" s="81" t="b">
        <v>1</v>
      </c>
      <c r="F4" s="82" t="s">
        <v>12</v>
      </c>
      <c r="G4" s="82" t="s">
        <v>21</v>
      </c>
      <c r="H4" s="83">
        <v>1</v>
      </c>
      <c r="I4" s="73">
        <f>VLOOKUP(B4,HECVAT!A:E,3,FALSE)</f>
        <v>0</v>
      </c>
      <c r="J4" s="73">
        <v>1</v>
      </c>
      <c r="K4" s="73">
        <f>IF(Table1[[#This Row],[Column8]]=1,10,"")</f>
        <v>10</v>
      </c>
      <c r="L4" s="73">
        <f>IF(Table1[[#This Row],[Column8]]=1,J4*K4,"")</f>
        <v>10</v>
      </c>
      <c r="M4" s="74" t="str">
        <f>VLOOKUP($B4,'Standards Crosswalk'!$A:$H,3,FALSE)</f>
        <v>CSC 13</v>
      </c>
      <c r="N4" s="74">
        <f>VLOOKUP($B4,'Standards Crosswalk'!$A:$H,4,FALSE)</f>
        <v>0</v>
      </c>
      <c r="O4" s="74">
        <f>VLOOKUP($B4,'Standards Crosswalk'!$A:$H,5,FALSE)</f>
        <v>0</v>
      </c>
      <c r="P4" s="74" t="str">
        <f>VLOOKUP($B4,'Standards Crosswalk'!$A:$H,6,FALSE)</f>
        <v>ID.AM-6, PR.AT-3</v>
      </c>
      <c r="Q4" s="74" t="str">
        <f>VLOOKUP($B4,'Standards Crosswalk'!$A:$H,7,FALSE)</f>
        <v>ID.AM-6, PR.AT-3</v>
      </c>
      <c r="R4" s="74">
        <f>VLOOKUP($B4,'Standards Crosswalk'!$A:$H,8,FALSE)</f>
        <v>0</v>
      </c>
      <c r="S4" s="74">
        <f>VLOOKUP($B4,'Standards Crosswalk'!$A:$I,9,FALSE)</f>
        <v>12.8</v>
      </c>
      <c r="T4" s="79" t="s">
        <v>2048</v>
      </c>
      <c r="U4" s="87">
        <f>COUNTIFS(B:B,"AAAI*",J:J,"=1")</f>
        <v>0</v>
      </c>
      <c r="V4" s="85">
        <f>COUNTIF(B:B,"AAAI*")</f>
        <v>17</v>
      </c>
      <c r="W4" s="85">
        <f>SUMIFS(L:L,B:B, "AAAI*")</f>
        <v>0</v>
      </c>
      <c r="X4" s="85">
        <f>SUMIFS(K:K,B:B, "AAAI*")</f>
        <v>365</v>
      </c>
      <c r="Y4" s="86">
        <f t="shared" si="0"/>
        <v>0</v>
      </c>
    </row>
    <row r="5" spans="1:25" ht="43.5" thickBot="1" x14ac:dyDescent="0.25">
      <c r="A5" s="73">
        <f t="shared" si="1"/>
        <v>4</v>
      </c>
      <c r="B5" s="79" t="s">
        <v>173</v>
      </c>
      <c r="C5" s="80" t="str">
        <f>VLOOKUP(B5,HECVAT!A:E,2,FALSE)</f>
        <v>Do you have a Business Continuity Plan (BCP)?</v>
      </c>
      <c r="D5" s="73">
        <f>VLOOKUP(B5,HECVAT!A:E,4,FALSE)</f>
        <v>0</v>
      </c>
      <c r="E5" s="81" t="b">
        <v>1</v>
      </c>
      <c r="F5" s="82" t="s">
        <v>12</v>
      </c>
      <c r="G5" s="82" t="s">
        <v>17</v>
      </c>
      <c r="H5" s="83">
        <v>1</v>
      </c>
      <c r="I5" s="73">
        <f>VLOOKUP(B5,HECVAT!A:E,3,FALSE)</f>
        <v>0</v>
      </c>
      <c r="J5" s="73">
        <v>1</v>
      </c>
      <c r="K5" s="73">
        <f>IF(Table1[[#This Row],[Column8]]=1,10,"")</f>
        <v>10</v>
      </c>
      <c r="L5" s="73">
        <f>IF(Table1[[#This Row],[Column8]]=1,J5*K5,"")</f>
        <v>10</v>
      </c>
      <c r="M5" s="74" t="str">
        <f>VLOOKUP($B5,'Standards Crosswalk'!$A:$H,3,FALSE)</f>
        <v>CSC 10</v>
      </c>
      <c r="N5" s="74">
        <f>VLOOKUP($B5,'Standards Crosswalk'!$A:$H,4,FALSE)</f>
        <v>0</v>
      </c>
      <c r="O5" s="74" t="str">
        <f>VLOOKUP($B5,'Standards Crosswalk'!$A:$H,5,FALSE)</f>
        <v>17.1.2</v>
      </c>
      <c r="P5" s="74" t="str">
        <f>VLOOKUP($B5,'Standards Crosswalk'!$A:$H,6,FALSE)</f>
        <v>PR.IP-9</v>
      </c>
      <c r="Q5" s="74" t="str">
        <f>VLOOKUP($B5,'Standards Crosswalk'!$A:$H,7,FALSE)</f>
        <v>PR.IP-9</v>
      </c>
      <c r="R5" s="74" t="str">
        <f>VLOOKUP($B5,'Standards Crosswalk'!$A:$H,8,FALSE)</f>
        <v>AU-7, AU-9, IR-4</v>
      </c>
      <c r="S5" s="74">
        <f>VLOOKUP($B5,'Standards Crosswalk'!$A:$I,9,FALSE)</f>
        <v>12.1</v>
      </c>
      <c r="T5" s="88" t="s">
        <v>2050</v>
      </c>
      <c r="U5" s="87">
        <f>COUNTIFS(B:B,"CHNG*",J:J,"=1")</f>
        <v>0</v>
      </c>
      <c r="V5" s="85">
        <f>COUNTIF(B:B,"CHNG*")</f>
        <v>15</v>
      </c>
      <c r="W5" s="85">
        <f>SUMIFS(L:L,B:B, "CHNG*")</f>
        <v>0</v>
      </c>
      <c r="X5" s="85">
        <f>SUMIFS(K:K,B:B, "CHNG*")</f>
        <v>275</v>
      </c>
      <c r="Y5" s="86">
        <f t="shared" si="0"/>
        <v>0</v>
      </c>
    </row>
    <row r="6" spans="1:25" ht="15" thickBot="1" x14ac:dyDescent="0.25">
      <c r="A6" s="120"/>
      <c r="B6" s="121"/>
      <c r="C6" s="122"/>
      <c r="D6" s="120"/>
      <c r="E6" s="123"/>
      <c r="F6" s="124"/>
      <c r="G6" s="125"/>
      <c r="H6" s="126"/>
      <c r="I6" s="120"/>
      <c r="J6" s="120"/>
      <c r="K6" s="120"/>
      <c r="L6" s="120"/>
      <c r="M6" s="127"/>
      <c r="N6" s="127">
        <f>VLOOKUP($B7,'Standards Crosswalk'!$A:$H,4,FALSE)</f>
        <v>0</v>
      </c>
      <c r="O6" s="127"/>
      <c r="P6" s="127"/>
      <c r="Q6" s="127"/>
      <c r="R6" s="127"/>
      <c r="S6" s="127"/>
      <c r="T6" s="99" t="s">
        <v>2576</v>
      </c>
      <c r="U6" s="87">
        <f>COUNTIFS(B:B,"COMP*",J:J,"=1")</f>
        <v>0</v>
      </c>
      <c r="V6" s="85">
        <f>COUNTIF(B:B,"COMP*")</f>
        <v>7</v>
      </c>
      <c r="W6" s="85">
        <f>SUMIFS(L:L,B:B, "COMP*")</f>
        <v>0</v>
      </c>
      <c r="X6" s="85">
        <f>SUMIFS(K:K,B:B, "COMP*")</f>
        <v>120</v>
      </c>
      <c r="Y6" s="86">
        <f t="shared" ref="Y6" si="2">W6/X6</f>
        <v>0</v>
      </c>
    </row>
    <row r="7" spans="1:25" ht="29.25" thickBot="1" x14ac:dyDescent="0.25">
      <c r="A7" s="73">
        <f>A5+1</f>
        <v>5</v>
      </c>
      <c r="B7" s="79" t="s">
        <v>174</v>
      </c>
      <c r="C7" s="80" t="str">
        <f>VLOOKUP(B7,HECVAT!A:E,2,FALSE)</f>
        <v>Do you have a Disaster Recovery Plan (DRP)?</v>
      </c>
      <c r="D7" s="73">
        <f>VLOOKUP(B7,HECVAT!A:E,4,FALSE)</f>
        <v>0</v>
      </c>
      <c r="E7" s="81" t="b">
        <v>1</v>
      </c>
      <c r="F7" s="82" t="s">
        <v>12</v>
      </c>
      <c r="G7" s="82" t="s">
        <v>17</v>
      </c>
      <c r="H7" s="83">
        <v>1</v>
      </c>
      <c r="I7" s="73">
        <f>VLOOKUP(B7,HECVAT!A:E,3,FALSE)</f>
        <v>0</v>
      </c>
      <c r="J7" s="73">
        <v>1</v>
      </c>
      <c r="K7" s="73">
        <f>IF(Table1[[#This Row],[Column8]]=1,10,"")</f>
        <v>10</v>
      </c>
      <c r="L7" s="73">
        <f>IF(Table1[[#This Row],[Column8]]=1,J7*K7,"")</f>
        <v>10</v>
      </c>
      <c r="M7" s="74" t="str">
        <f>VLOOKUP($B7,'Standards Crosswalk'!$A:$H,3,FALSE)</f>
        <v>CSC 10</v>
      </c>
      <c r="N7" s="74">
        <f>VLOOKUP($B7,'Standards Crosswalk'!$A:$H,4,FALSE)</f>
        <v>0</v>
      </c>
      <c r="O7" s="74" t="str">
        <f>VLOOKUP($B7,'Standards Crosswalk'!$A:$H,5,FALSE)</f>
        <v>17.1.2</v>
      </c>
      <c r="P7" s="74" t="str">
        <f>VLOOKUP($B7,'Standards Crosswalk'!$A:$H,6,FALSE)</f>
        <v>PR.IP-9</v>
      </c>
      <c r="Q7" s="74" t="str">
        <f>VLOOKUP($B7,'Standards Crosswalk'!$A:$H,7,FALSE)</f>
        <v>PR.IP-9</v>
      </c>
      <c r="R7" s="74" t="str">
        <f>VLOOKUP($B7,'Standards Crosswalk'!$A:$H,8,FALSE)</f>
        <v>CA-5, PL-2</v>
      </c>
      <c r="S7" s="74">
        <f>VLOOKUP($B7,'Standards Crosswalk'!$A:$I,9,FALSE)</f>
        <v>12.1</v>
      </c>
      <c r="T7" s="79" t="s">
        <v>2051</v>
      </c>
      <c r="U7" s="89">
        <f>COUNTIFS(B:B,"DATA*",J:J,"=1")</f>
        <v>0</v>
      </c>
      <c r="V7" s="90">
        <f>COUNTIF(B:B,"DATA*")</f>
        <v>27</v>
      </c>
      <c r="W7" s="90">
        <f>SUMIFS(L:L,B:B, "DATA*")</f>
        <v>0</v>
      </c>
      <c r="X7" s="90">
        <f>SUMIFS(K:K,B:B, "DATA*")</f>
        <v>550</v>
      </c>
      <c r="Y7" s="91">
        <f t="shared" si="0"/>
        <v>0</v>
      </c>
    </row>
    <row r="8" spans="1:25" ht="29.25" thickBot="1" x14ac:dyDescent="0.25">
      <c r="A8" s="73">
        <f t="shared" si="1"/>
        <v>6</v>
      </c>
      <c r="B8" s="79" t="s">
        <v>175</v>
      </c>
      <c r="C8" s="80" t="str">
        <f>VLOOKUP(B8,HECVAT!A:E,2,FALSE)</f>
        <v>Will data regulated by PCI DSS reside in the vended product?</v>
      </c>
      <c r="D8" s="73">
        <f>VLOOKUP(B8,HECVAT!A:E,4,FALSE)</f>
        <v>0</v>
      </c>
      <c r="E8" s="81" t="b">
        <v>1</v>
      </c>
      <c r="F8" s="82" t="s">
        <v>12</v>
      </c>
      <c r="G8" s="82" t="s">
        <v>21</v>
      </c>
      <c r="H8" s="83">
        <v>1</v>
      </c>
      <c r="I8" s="73">
        <f>VLOOKUP(B8,HECVAT!A:E,3,FALSE)</f>
        <v>0</v>
      </c>
      <c r="J8" s="73">
        <v>1</v>
      </c>
      <c r="K8" s="73">
        <f>IF(Table1[[#This Row],[Column8]]=1,10,"")</f>
        <v>10</v>
      </c>
      <c r="L8" s="73">
        <f>IF(Table1[[#This Row],[Column8]]=1,J8*K8,"")</f>
        <v>10</v>
      </c>
      <c r="M8" s="74" t="str">
        <f>VLOOKUP($B8,'Standards Crosswalk'!$A:$H,3,FALSE)</f>
        <v>CSC 13</v>
      </c>
      <c r="N8" s="74">
        <f>VLOOKUP($B8,'Standards Crosswalk'!$A:$H,4,FALSE)</f>
        <v>0</v>
      </c>
      <c r="O8" s="74" t="str">
        <f>VLOOKUP($B8,'Standards Crosswalk'!$A:$H,5,FALSE)</f>
        <v>18.1.1</v>
      </c>
      <c r="P8" s="74" t="str">
        <f>VLOOKUP($B8,'Standards Crosswalk'!$A:$H,6,FALSE)</f>
        <v>ID.GV-3</v>
      </c>
      <c r="Q8" s="74" t="str">
        <f>VLOOKUP($B8,'Standards Crosswalk'!$A:$H,7,FALSE)</f>
        <v>ID.GV-3</v>
      </c>
      <c r="R8" s="74" t="str">
        <f>VLOOKUP($B8,'Standards Crosswalk'!$A:$H,8,FALSE)</f>
        <v>RA-2</v>
      </c>
      <c r="S8" s="74" t="str">
        <f>VLOOKUP($B8,'Standards Crosswalk'!$A:$I,9,FALSE)</f>
        <v>PCI Scope, Discovery</v>
      </c>
      <c r="T8" s="75" t="s">
        <v>2052</v>
      </c>
      <c r="U8" s="87">
        <f>COUNTIFS(B:B,"DBAS*",J:J,"=1")</f>
        <v>0</v>
      </c>
      <c r="V8" s="85">
        <f>COUNTIF(B:B,"DBAS*")</f>
        <v>2</v>
      </c>
      <c r="W8" s="85">
        <f>SUMIFS(L:L,B:B, "DBAS*")</f>
        <v>0</v>
      </c>
      <c r="X8" s="85">
        <f>SUMIFS(K:K,B:B, "DBAS*")</f>
        <v>50</v>
      </c>
      <c r="Y8" s="86">
        <f t="shared" si="0"/>
        <v>0</v>
      </c>
    </row>
    <row r="9" spans="1:25" ht="43.5" thickBot="1" x14ac:dyDescent="0.25">
      <c r="A9" s="73">
        <f t="shared" si="1"/>
        <v>7</v>
      </c>
      <c r="B9" s="79" t="s">
        <v>176</v>
      </c>
      <c r="C9" s="80" t="str">
        <f>VLOOKUP(B9,HECVAT!A:E,2,FALSE)</f>
        <v>Is your company a consulting firm providing only consultation to the Institution?</v>
      </c>
      <c r="D9" s="73">
        <f>VLOOKUP(B9,HECVAT!A:E,4,FALSE)</f>
        <v>0</v>
      </c>
      <c r="E9" s="81" t="b">
        <v>0</v>
      </c>
      <c r="F9" s="82" t="s">
        <v>12</v>
      </c>
      <c r="G9" s="82" t="s">
        <v>17</v>
      </c>
      <c r="H9" s="83">
        <v>1</v>
      </c>
      <c r="I9" s="73">
        <f>VLOOKUP(B9,HECVAT!A:E,3,FALSE)</f>
        <v>0</v>
      </c>
      <c r="J9" s="73">
        <v>1</v>
      </c>
      <c r="K9" s="73">
        <f>IF(Table1[[#This Row],[Column8]]=1,10,"")</f>
        <v>10</v>
      </c>
      <c r="L9" s="73">
        <f>IF(Table1[[#This Row],[Column8]]=1,J9*K9,"")</f>
        <v>10</v>
      </c>
      <c r="M9" s="74" t="str">
        <f>VLOOKUP($B9,'Standards Crosswalk'!$A:$H,3,FALSE)</f>
        <v>CSC 14</v>
      </c>
      <c r="N9" s="74">
        <f>VLOOKUP($B9,'Standards Crosswalk'!$A:$H,4,FALSE)</f>
        <v>0</v>
      </c>
      <c r="O9" s="74">
        <f>VLOOKUP($B9,'Standards Crosswalk'!$A:$H,5,FALSE)</f>
        <v>0</v>
      </c>
      <c r="P9" s="74">
        <f>VLOOKUP($B9,'Standards Crosswalk'!$A:$H,6,FALSE)</f>
        <v>0</v>
      </c>
      <c r="Q9" s="74">
        <f>VLOOKUP($B9,'Standards Crosswalk'!$A:$H,7,FALSE)</f>
        <v>0</v>
      </c>
      <c r="R9" s="74">
        <f>VLOOKUP($B9,'Standards Crosswalk'!$A:$H,8,FALSE)</f>
        <v>0</v>
      </c>
      <c r="S9" s="74" t="str">
        <f>VLOOKUP($B9,'Standards Crosswalk'!$A:$I,9,FALSE)</f>
        <v>PCI Scope</v>
      </c>
      <c r="T9" s="75" t="s">
        <v>2053</v>
      </c>
      <c r="U9" s="87">
        <f>COUNTIFS(B:B,"DCTR*",J:J,"=1")</f>
        <v>0</v>
      </c>
      <c r="V9" s="85">
        <f>COUNTIF(B:B,"DCTR*")</f>
        <v>18</v>
      </c>
      <c r="W9" s="85">
        <f>SUMIFS(L:L,B:B, "DCTR*")</f>
        <v>0</v>
      </c>
      <c r="X9" s="85">
        <f>SUMIFS(K:K,B:B, "DCTR*")</f>
        <v>290</v>
      </c>
      <c r="Y9" s="86">
        <f t="shared" si="0"/>
        <v>0</v>
      </c>
    </row>
    <row r="10" spans="1:25" ht="29.25" thickBot="1" x14ac:dyDescent="0.25">
      <c r="A10" s="73">
        <f t="shared" si="1"/>
        <v>8</v>
      </c>
      <c r="B10" s="79" t="s">
        <v>177</v>
      </c>
      <c r="C10" s="80" t="str">
        <f>VLOOKUP(B10,HECVAT!A:E,2,FALSE)</f>
        <v>Have you undergone a SSAE 16 audit?</v>
      </c>
      <c r="D10" s="73">
        <f>VLOOKUP(B10,HECVAT!A:E,4,FALSE)</f>
        <v>0</v>
      </c>
      <c r="E10" s="81" t="b">
        <f>IF(Table1[[#This Row],[Column11]]&gt;20,TRUE,FALSE)</f>
        <v>0</v>
      </c>
      <c r="F10" s="81" t="s">
        <v>18</v>
      </c>
      <c r="G10" s="82" t="s">
        <v>17</v>
      </c>
      <c r="H10" s="83">
        <v>1</v>
      </c>
      <c r="I10" s="73">
        <f>VLOOKUP(B10,HECVAT!A:E,3,FALSE)</f>
        <v>0</v>
      </c>
      <c r="J10" s="73">
        <f>IF(Table1[[#This Row],[Column7]]=Table1[[#This Row],[Column9]],1,0)</f>
        <v>0</v>
      </c>
      <c r="K10" s="73">
        <f>IF(Table1[[#This Row],[Column8]]=1,15,"")</f>
        <v>15</v>
      </c>
      <c r="L10" s="73">
        <f>IF(Table1[[#This Row],[Column8]]=1,J10*K10,"")</f>
        <v>0</v>
      </c>
      <c r="M10" s="74">
        <f>VLOOKUP($B10,'Standards Crosswalk'!$A:$H,3,FALSE)</f>
        <v>0</v>
      </c>
      <c r="N10" s="74">
        <f>VLOOKUP($B10,'Standards Crosswalk'!$A:$H,4,FALSE)</f>
        <v>0</v>
      </c>
      <c r="O10" s="74" t="str">
        <f>VLOOKUP($B10,'Standards Crosswalk'!$A:$H,5,FALSE)</f>
        <v>15.2.1</v>
      </c>
      <c r="P10" s="74">
        <f>VLOOKUP($B10,'Standards Crosswalk'!$A:$H,6,FALSE)</f>
        <v>0</v>
      </c>
      <c r="Q10" s="74">
        <f>VLOOKUP($B10,'Standards Crosswalk'!$A:$H,7,FALSE)</f>
        <v>0</v>
      </c>
      <c r="R10" s="74" t="str">
        <f>VLOOKUP($B10,'Standards Crosswalk'!$A:$H,8,FALSE)</f>
        <v>SA-9</v>
      </c>
      <c r="S10" s="74">
        <f>VLOOKUP($B10,'Standards Crosswalk'!$A:$I,9,FALSE)</f>
        <v>0</v>
      </c>
      <c r="T10" s="75" t="s">
        <v>2055</v>
      </c>
      <c r="U10" s="87">
        <f>COUNTIFS(B:B,"FIDP*",J:J,"=1")</f>
        <v>0</v>
      </c>
      <c r="V10" s="85">
        <f>COUNTIF(B:B,"FIDP*")</f>
        <v>12</v>
      </c>
      <c r="W10" s="85">
        <f>SUMIFS(L:L,B:B, "FIDP*")</f>
        <v>0</v>
      </c>
      <c r="X10" s="85">
        <f>SUMIFS(K:K,B:B, "FIDP*")</f>
        <v>245</v>
      </c>
      <c r="Y10" s="86">
        <f t="shared" si="0"/>
        <v>0</v>
      </c>
    </row>
    <row r="11" spans="1:25" ht="57.75" thickBot="1" x14ac:dyDescent="0.25">
      <c r="A11" s="73">
        <f t="shared" si="1"/>
        <v>9</v>
      </c>
      <c r="B11" s="79" t="s">
        <v>178</v>
      </c>
      <c r="C11" s="80" t="str">
        <f>VLOOKUP(B11,HECVAT!A:E,2,FALSE)</f>
        <v>Have you completed the Cloud Security Alliance (CSA) self assessment or CAIQ?</v>
      </c>
      <c r="D11" s="73">
        <f>VLOOKUP(B11,HECVAT!A:E,4,FALSE)</f>
        <v>0</v>
      </c>
      <c r="E11" s="81" t="b">
        <f>IF(Table1[[#This Row],[Column11]]&gt;20,TRUE,FALSE)</f>
        <v>0</v>
      </c>
      <c r="F11" s="81" t="s">
        <v>18</v>
      </c>
      <c r="G11" s="82" t="s">
        <v>17</v>
      </c>
      <c r="H11" s="83">
        <v>1</v>
      </c>
      <c r="I11" s="73">
        <f>VLOOKUP(B11,HECVAT!A:E,3,FALSE)</f>
        <v>0</v>
      </c>
      <c r="J11" s="73">
        <f>IF(Table1[[#This Row],[Column7]]=Table1[[#This Row],[Column9]],1,0)</f>
        <v>0</v>
      </c>
      <c r="K11" s="73">
        <f>IF(Table1[[#This Row],[Column8]]=1,10,"")</f>
        <v>10</v>
      </c>
      <c r="L11" s="73">
        <f>IF(Table1[[#This Row],[Column8]]=1,J11*K11,"")</f>
        <v>0</v>
      </c>
      <c r="M11" s="74">
        <f>VLOOKUP($B11,'Standards Crosswalk'!$A:$H,3,FALSE)</f>
        <v>0</v>
      </c>
      <c r="N11" s="74">
        <f>VLOOKUP($B11,'Standards Crosswalk'!$A:$H,4,FALSE)</f>
        <v>0</v>
      </c>
      <c r="O11" s="74" t="str">
        <f>VLOOKUP($B11,'Standards Crosswalk'!$A:$H,5,FALSE)</f>
        <v>15.2.1</v>
      </c>
      <c r="P11" s="74">
        <f>VLOOKUP($B11,'Standards Crosswalk'!$A:$H,6,FALSE)</f>
        <v>0</v>
      </c>
      <c r="Q11" s="74">
        <f>VLOOKUP($B11,'Standards Crosswalk'!$A:$H,7,FALSE)</f>
        <v>0</v>
      </c>
      <c r="R11" s="74" t="str">
        <f>VLOOKUP($B11,'Standards Crosswalk'!$A:$H,8,FALSE)</f>
        <v>PE-2, PE-3, PE-5, PE-11, PE-13, PE-14, SA-9</v>
      </c>
      <c r="S11" s="74">
        <f>VLOOKUP($B11,'Standards Crosswalk'!$A:$I,9,FALSE)</f>
        <v>0</v>
      </c>
      <c r="T11" s="75" t="s">
        <v>2057</v>
      </c>
      <c r="U11" s="87">
        <f>COUNTIFS(B:B,"PHYS*",J:J,"=1")</f>
        <v>0</v>
      </c>
      <c r="V11" s="85">
        <f>COUNTIF(B:B,"PHYS*")</f>
        <v>5</v>
      </c>
      <c r="W11" s="85">
        <f>SUMIFS(L:L,B:B, "PHYS*")</f>
        <v>0</v>
      </c>
      <c r="X11" s="85">
        <f>SUMIFS(K:K,B:B, "PHYS*")</f>
        <v>100</v>
      </c>
      <c r="Y11" s="86">
        <f t="shared" si="0"/>
        <v>0</v>
      </c>
    </row>
    <row r="12" spans="1:25" ht="57.75" thickBot="1" x14ac:dyDescent="0.25">
      <c r="A12" s="73">
        <f t="shared" si="1"/>
        <v>10</v>
      </c>
      <c r="B12" s="79" t="s">
        <v>179</v>
      </c>
      <c r="C12" s="80" t="str">
        <f>VLOOKUP(B12,HECVAT!A:E,2,FALSE)</f>
        <v>Have you received the Cloud Security Alliance STAR certification?</v>
      </c>
      <c r="D12" s="73">
        <f>VLOOKUP(B12,HECVAT!A:E,4,FALSE)</f>
        <v>0</v>
      </c>
      <c r="E12" s="81" t="b">
        <f>IF(Table1[[#This Row],[Column11]]&gt;20,TRUE,FALSE)</f>
        <v>0</v>
      </c>
      <c r="F12" s="81" t="s">
        <v>18</v>
      </c>
      <c r="G12" s="82" t="s">
        <v>17</v>
      </c>
      <c r="H12" s="83">
        <v>1</v>
      </c>
      <c r="I12" s="73">
        <f>VLOOKUP(B12,HECVAT!A:E,3,FALSE)</f>
        <v>0</v>
      </c>
      <c r="J12" s="73">
        <f>IF(Table1[[#This Row],[Column7]]=Table1[[#This Row],[Column9]],1,0)</f>
        <v>0</v>
      </c>
      <c r="K12" s="73">
        <f>IF(Table1[[#This Row],[Column8]]=1,15,"")</f>
        <v>15</v>
      </c>
      <c r="L12" s="73">
        <f>IF(Table1[[#This Row],[Column8]]=1,J12*K12,"")</f>
        <v>0</v>
      </c>
      <c r="M12" s="74">
        <f>VLOOKUP($B12,'Standards Crosswalk'!$A:$H,3,FALSE)</f>
        <v>0</v>
      </c>
      <c r="N12" s="74">
        <f>VLOOKUP($B12,'Standards Crosswalk'!$A:$H,4,FALSE)</f>
        <v>0</v>
      </c>
      <c r="O12" s="74" t="str">
        <f>VLOOKUP($B12,'Standards Crosswalk'!$A:$H,5,FALSE)</f>
        <v>15.2.1</v>
      </c>
      <c r="P12" s="74">
        <f>VLOOKUP($B12,'Standards Crosswalk'!$A:$H,6,FALSE)</f>
        <v>0</v>
      </c>
      <c r="Q12" s="74">
        <f>VLOOKUP($B12,'Standards Crosswalk'!$A:$H,7,FALSE)</f>
        <v>0</v>
      </c>
      <c r="R12" s="74" t="str">
        <f>VLOOKUP($B12,'Standards Crosswalk'!$A:$H,8,FALSE)</f>
        <v>PE-2, PE-3, PE-5, PE-11, PE-13, PE-14, SA-9</v>
      </c>
      <c r="S12" s="74">
        <f>VLOOKUP($B12,'Standards Crosswalk'!$A:$I,9,FALSE)</f>
        <v>0</v>
      </c>
      <c r="T12" s="75" t="s">
        <v>2058</v>
      </c>
      <c r="U12" s="87">
        <f>COUNTIFS(B:B,"PPPR*",J:J,"=1")</f>
        <v>0</v>
      </c>
      <c r="V12" s="85">
        <f>COUNTIF(B:B,"PPPR*")</f>
        <v>20</v>
      </c>
      <c r="W12" s="85">
        <f>SUMIFS(L:L,B:B, "PPPR*")</f>
        <v>0</v>
      </c>
      <c r="X12" s="85">
        <f>SUMIFS(K:K,B:B, "PPPR*")</f>
        <v>420</v>
      </c>
      <c r="Y12" s="86">
        <f t="shared" si="0"/>
        <v>0</v>
      </c>
    </row>
    <row r="13" spans="1:25" ht="72" thickBot="1" x14ac:dyDescent="0.25">
      <c r="A13" s="73">
        <f t="shared" si="1"/>
        <v>11</v>
      </c>
      <c r="B13" s="79" t="s">
        <v>180</v>
      </c>
      <c r="C13" s="80" t="str">
        <f>VLOOKUP(B13,HECVAT!A:E,2,FALSE)</f>
        <v>Do you conform with a specific industry standard security framework? (e.g. NIST Cybersecurity Framework, ISO 27001, etc.)</v>
      </c>
      <c r="D13" s="73">
        <f>VLOOKUP(B13,HECVAT!A:E,4,FALSE)</f>
        <v>0</v>
      </c>
      <c r="E13" s="81" t="b">
        <f>IF(Table1[[#This Row],[Column11]]&gt;20,TRUE,FALSE)</f>
        <v>1</v>
      </c>
      <c r="F13" s="81" t="s">
        <v>18</v>
      </c>
      <c r="G13" s="82" t="s">
        <v>17</v>
      </c>
      <c r="H13" s="83">
        <v>1</v>
      </c>
      <c r="I13" s="73">
        <f>VLOOKUP(B13,HECVAT!A:E,3,FALSE)</f>
        <v>0</v>
      </c>
      <c r="J13" s="73">
        <f>IF(Table1[[#This Row],[Column7]]=Table1[[#This Row],[Column9]],1,0)</f>
        <v>0</v>
      </c>
      <c r="K13" s="73">
        <f>IF(Table1[[#This Row],[Column8]]=1,25,"")</f>
        <v>25</v>
      </c>
      <c r="L13" s="73">
        <f>IF(Table1[[#This Row],[Column8]]=1,J13*K13,"")</f>
        <v>0</v>
      </c>
      <c r="M13" s="74">
        <f>VLOOKUP($B13,'Standards Crosswalk'!$A:$H,3,FALSE)</f>
        <v>0</v>
      </c>
      <c r="N13" s="74">
        <f>VLOOKUP($B13,'Standards Crosswalk'!$A:$H,4,FALSE)</f>
        <v>0</v>
      </c>
      <c r="O13" s="74" t="str">
        <f>VLOOKUP($B13,'Standards Crosswalk'!$A:$H,5,FALSE)</f>
        <v>18.1.1</v>
      </c>
      <c r="P13" s="74">
        <f>VLOOKUP($B13,'Standards Crosswalk'!$A:$H,6,FALSE)</f>
        <v>0</v>
      </c>
      <c r="Q13" s="74">
        <f>VLOOKUP($B13,'Standards Crosswalk'!$A:$H,7,FALSE)</f>
        <v>0</v>
      </c>
      <c r="R13" s="74" t="str">
        <f>VLOOKUP($B13,'Standards Crosswalk'!$A:$H,8,FALSE)</f>
        <v>SA-9</v>
      </c>
      <c r="S13" s="74" t="str">
        <f>VLOOKUP($B13,'Standards Crosswalk'!$A:$I,9,FALSE)</f>
        <v>12.1, Scope</v>
      </c>
      <c r="T13" s="75" t="s">
        <v>2061</v>
      </c>
      <c r="U13" s="87">
        <f>COUNTIFS(B:B,"SYST*",J:J,"=1")</f>
        <v>0</v>
      </c>
      <c r="V13" s="85">
        <f>COUNTIF(B:B,"SYST*")</f>
        <v>4</v>
      </c>
      <c r="W13" s="85">
        <f>SUMIFS(L:L,B:B, "SYST*")</f>
        <v>0</v>
      </c>
      <c r="X13" s="85">
        <f>SUMIFS(K:K,B:B, "SYST*")</f>
        <v>70</v>
      </c>
      <c r="Y13" s="86">
        <f t="shared" si="0"/>
        <v>0</v>
      </c>
    </row>
    <row r="14" spans="1:25" ht="29.25" thickBot="1" x14ac:dyDescent="0.25">
      <c r="A14" s="73">
        <f t="shared" si="1"/>
        <v>12</v>
      </c>
      <c r="B14" s="79" t="s">
        <v>181</v>
      </c>
      <c r="C14" s="80" t="str">
        <f>VLOOKUP(B14,HECVAT!A:E,2,FALSE)</f>
        <v>Are you compliant with FISMA standards?</v>
      </c>
      <c r="D14" s="73">
        <f>VLOOKUP(B14,HECVAT!A:E,4,FALSE)</f>
        <v>0</v>
      </c>
      <c r="E14" s="81" t="b">
        <f>IF(Table1[[#This Row],[Column11]]&gt;20,TRUE,FALSE)</f>
        <v>0</v>
      </c>
      <c r="F14" s="81" t="s">
        <v>18</v>
      </c>
      <c r="G14" s="82" t="s">
        <v>17</v>
      </c>
      <c r="H14" s="83">
        <v>1</v>
      </c>
      <c r="I14" s="73">
        <f>VLOOKUP(B14,HECVAT!A:E,3,FALSE)</f>
        <v>0</v>
      </c>
      <c r="J14" s="73">
        <f>IF(Table1[[#This Row],[Column7]]=Table1[[#This Row],[Column9]],1,0)</f>
        <v>0</v>
      </c>
      <c r="K14" s="73">
        <f>IF(Table1[[#This Row],[Column8]]=1,15,"")</f>
        <v>15</v>
      </c>
      <c r="L14" s="73">
        <f>IF(Table1[[#This Row],[Column8]]=1,J14*K14,"")</f>
        <v>0</v>
      </c>
      <c r="M14" s="74">
        <f>VLOOKUP($B14,'Standards Crosswalk'!$A:$H,3,FALSE)</f>
        <v>0</v>
      </c>
      <c r="N14" s="74">
        <f>VLOOKUP($B14,'Standards Crosswalk'!$A:$H,4,FALSE)</f>
        <v>0</v>
      </c>
      <c r="O14" s="74" t="str">
        <f>VLOOKUP($B14,'Standards Crosswalk'!$A:$H,5,FALSE)</f>
        <v>18.1.1</v>
      </c>
      <c r="P14" s="74">
        <f>VLOOKUP($B14,'Standards Crosswalk'!$A:$H,6,FALSE)</f>
        <v>0</v>
      </c>
      <c r="Q14" s="74">
        <f>VLOOKUP($B14,'Standards Crosswalk'!$A:$H,7,FALSE)</f>
        <v>0</v>
      </c>
      <c r="R14" s="74" t="str">
        <f>VLOOKUP($B14,'Standards Crosswalk'!$A:$H,8,FALSE)</f>
        <v>SA-9</v>
      </c>
      <c r="S14" s="74">
        <f>VLOOKUP($B14,'Standards Crosswalk'!$A:$I,9,FALSE)</f>
        <v>0</v>
      </c>
      <c r="T14" s="92" t="s">
        <v>2062</v>
      </c>
      <c r="U14" s="89">
        <f>COUNTIFS(B:B,"VULN*",J:J,"=1")</f>
        <v>0</v>
      </c>
      <c r="V14" s="90">
        <f>COUNTIF(B:B,"VULN*")</f>
        <v>9</v>
      </c>
      <c r="W14" s="90">
        <f>SUMIFS(L:L,B:B, "VULN*")</f>
        <v>0</v>
      </c>
      <c r="X14" s="90">
        <f>SUMIFS(K:K,B:B, "VULN*")</f>
        <v>170</v>
      </c>
      <c r="Y14" s="91">
        <f t="shared" si="0"/>
        <v>0</v>
      </c>
    </row>
    <row r="15" spans="1:25" ht="29.25" thickBot="1" x14ac:dyDescent="0.25">
      <c r="A15" s="73">
        <f t="shared" si="1"/>
        <v>13</v>
      </c>
      <c r="B15" s="79" t="s">
        <v>182</v>
      </c>
      <c r="C15" s="80" t="str">
        <f>VLOOKUP(B15,HECVAT!A:E,2,FALSE)</f>
        <v>Does your organization have a data privacy policy?</v>
      </c>
      <c r="D15" s="73">
        <f>VLOOKUP(B15,HECVAT!A:E,4,FALSE)</f>
        <v>0</v>
      </c>
      <c r="E15" s="81" t="b">
        <f>IF(Table1[[#This Row],[Column11]]&gt;20,TRUE,FALSE)</f>
        <v>1</v>
      </c>
      <c r="F15" s="81" t="s">
        <v>18</v>
      </c>
      <c r="G15" s="82" t="s">
        <v>17</v>
      </c>
      <c r="H15" s="83">
        <v>1</v>
      </c>
      <c r="I15" s="73">
        <f>VLOOKUP(B15,HECVAT!A:E,3,FALSE)</f>
        <v>0</v>
      </c>
      <c r="J15" s="73">
        <f>IF(Table1[[#This Row],[Column7]]=Table1[[#This Row],[Column9]],1,0)</f>
        <v>0</v>
      </c>
      <c r="K15" s="73">
        <f>IF(Table1[[#This Row],[Column8]]=1,25,"")</f>
        <v>25</v>
      </c>
      <c r="L15" s="73">
        <f>IF(Table1[[#This Row],[Column8]]=1,J15*K15,"")</f>
        <v>0</v>
      </c>
      <c r="M15" s="74">
        <f>VLOOKUP($B15,'Standards Crosswalk'!$A:$H,3,FALSE)</f>
        <v>0</v>
      </c>
      <c r="N15" s="74" t="str">
        <f>VLOOKUP($B15,'Standards Crosswalk'!$A:$H,4,FALSE)</f>
        <v>§164.308(a)(1)(i)</v>
      </c>
      <c r="O15" s="74" t="str">
        <f>VLOOKUP($B15,'Standards Crosswalk'!$A:$H,5,FALSE)</f>
        <v>18.1.4</v>
      </c>
      <c r="P15" s="74" t="str">
        <f>VLOOKUP($B15,'Standards Crosswalk'!$A:$H,6,FALSE)</f>
        <v>ID.GV-3</v>
      </c>
      <c r="Q15" s="74" t="str">
        <f>VLOOKUP($B15,'Standards Crosswalk'!$A:$H,7,FALSE)</f>
        <v>ID.GV-3</v>
      </c>
      <c r="R15" s="74" t="str">
        <f>VLOOKUP($B15,'Standards Crosswalk'!$A:$H,8,FALSE)</f>
        <v>SA-9</v>
      </c>
      <c r="S15" s="74">
        <f>VLOOKUP($B15,'Standards Crosswalk'!$A:$I,9,FALSE)</f>
        <v>0</v>
      </c>
      <c r="T15" s="73" t="str">
        <f>IF(I2="Yes","HIPAA","")</f>
        <v/>
      </c>
      <c r="U15" s="73" t="str">
        <f>IF(I2="Yes",(COUNTIFS(B:B,"HIPA*",J:J,"=1")),"")</f>
        <v/>
      </c>
      <c r="V15" s="73" t="str">
        <f>IF(I2="Yes",(COUNTIF(B:B,"HIPA*")),"")</f>
        <v/>
      </c>
      <c r="W15" s="73" t="str">
        <f>IF(I2="Yes",(SUMIFS(L:L,B:B, "HIPA*")),"")</f>
        <v/>
      </c>
      <c r="X15" s="73" t="str">
        <f>IF(I2="Yes",(SUMIFS(K:K,B:B, "HIPA*")),"")</f>
        <v/>
      </c>
      <c r="Y15" s="103" t="str">
        <f>IF(I2="Yes",(W15/X15),"")</f>
        <v/>
      </c>
    </row>
    <row r="16" spans="1:25" ht="28.5" customHeight="1" thickBot="1" x14ac:dyDescent="0.25">
      <c r="A16" s="73">
        <f t="shared" si="1"/>
        <v>14</v>
      </c>
      <c r="B16" s="97" t="s">
        <v>189</v>
      </c>
      <c r="C16" s="98" t="str">
        <f>VLOOKUP(B16,HECVAT!A:E,2,FALSE)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96">
        <f>VLOOKUP(B16,HECVAT!A:E,4,FALSE)</f>
        <v>0</v>
      </c>
      <c r="E16" s="81" t="b">
        <f>IF(Table1[[#This Row],[Column11]]&gt;20,TRUE,FALSE)</f>
        <v>1</v>
      </c>
      <c r="F16" s="99" t="s">
        <v>2107</v>
      </c>
      <c r="G16" s="82" t="s">
        <v>17</v>
      </c>
      <c r="H16" s="83">
        <v>1</v>
      </c>
      <c r="I16" s="96">
        <f>VLOOKUP(B16,HECVAT!A:E,3,FALSE)</f>
        <v>0</v>
      </c>
      <c r="J16" s="73">
        <f>IF(VLOOKUP(Table1[[#This Row],[Column2]],'Analyst Report'!$A$41:$G$88,7,FALSE)="Yes",1,0)</f>
        <v>0</v>
      </c>
      <c r="K16" s="73">
        <f>IF(Table1[[#This Row],[Column8]]=1,25,"")</f>
        <v>25</v>
      </c>
      <c r="L16" s="73">
        <f>IF(Table1[[#This Row],[Column8]]=1,J16*K16,"")</f>
        <v>0</v>
      </c>
      <c r="M16" s="102" t="str">
        <f>VLOOKUP($B16,'Standards Crosswalk'!$A:$H,3,FALSE)</f>
        <v>CSC 13</v>
      </c>
      <c r="N16" s="102">
        <f>VLOOKUP($B16,'Standards Crosswalk'!$A:$H,4,FALSE)</f>
        <v>0</v>
      </c>
      <c r="O16" s="102" t="str">
        <f>VLOOKUP($B16,'Standards Crosswalk'!$A:$H,5,FALSE)</f>
        <v>15.1.3</v>
      </c>
      <c r="P16" s="102" t="str">
        <f>VLOOKUP($B16,'Standards Crosswalk'!$A:$H,6,FALSE)</f>
        <v>ID.AM-6, PR-AT-3</v>
      </c>
      <c r="Q16" s="102" t="str">
        <f>VLOOKUP($B16,'Standards Crosswalk'!$A:$H,7,FALSE)</f>
        <v>3.8.2</v>
      </c>
      <c r="R16" s="102" t="str">
        <f>VLOOKUP($B16,'Standards Crosswalk'!$A:$H,8,FALSE)</f>
        <v>MP-2, RA-3</v>
      </c>
      <c r="S16" s="74">
        <f>VLOOKUP($B16,'Standards Crosswalk'!$A:$I,9,FALSE)</f>
        <v>12.8</v>
      </c>
      <c r="T16" s="73" t="str">
        <f>IF(I3="Yes","Mobile App","")</f>
        <v/>
      </c>
      <c r="U16" s="73" t="str">
        <f>IF(I3="Yes",(COUNTIFS(B:B,"MAPP*",J:J,"=1")),"")</f>
        <v/>
      </c>
      <c r="V16" s="73" t="str">
        <f>IF(I3="Yes",(COUNTIF(B:B,"MAPP*")),"")</f>
        <v/>
      </c>
      <c r="W16" s="73" t="str">
        <f>IF(I3="Yes",(SUMIFS(L:L,B:B, "MAPP*")),"")</f>
        <v/>
      </c>
      <c r="X16" s="73" t="str">
        <f>IF(I3="Yes",(SUMIFS(K:K,B:B, "MAPP*")),"")</f>
        <v/>
      </c>
      <c r="Y16" s="103" t="str">
        <f>IF(I3="Yes",(W16/X16),"")</f>
        <v/>
      </c>
    </row>
    <row r="17" spans="1:25" ht="28.5" customHeight="1" thickBot="1" x14ac:dyDescent="0.25">
      <c r="A17" s="73">
        <f t="shared" si="1"/>
        <v>15</v>
      </c>
      <c r="B17" s="97" t="s">
        <v>190</v>
      </c>
      <c r="C17" s="98" t="str">
        <f>VLOOKUP(B17,HECVAT!A:E,2,FALSE)</f>
        <v>Provide a brief description for why each of these third parties will have access to institution data.</v>
      </c>
      <c r="D17" s="96">
        <f>VLOOKUP(B17,HECVAT!A:E,4,FALSE)</f>
        <v>0</v>
      </c>
      <c r="E17" s="81" t="b">
        <f>IF(Table1[[#This Row],[Column11]]&gt;20,TRUE,FALSE)</f>
        <v>1</v>
      </c>
      <c r="F17" s="99" t="s">
        <v>2107</v>
      </c>
      <c r="G17" s="82" t="s">
        <v>17</v>
      </c>
      <c r="H17" s="83">
        <v>1</v>
      </c>
      <c r="I17" s="96">
        <f>VLOOKUP(B17,HECVAT!A:E,3,FALSE)</f>
        <v>0</v>
      </c>
      <c r="J17" s="73">
        <f>IF(VLOOKUP(Table1[[#This Row],[Column2]],'Analyst Report'!$A$41:$G$88,7,FALSE)="Yes",1,0)</f>
        <v>0</v>
      </c>
      <c r="K17" s="73">
        <f>IF(Table1[[#This Row],[Column8]]=1,25,"")</f>
        <v>25</v>
      </c>
      <c r="L17" s="73">
        <f>IF(Table1[[#This Row],[Column8]]=1,J17*K17,"")</f>
        <v>0</v>
      </c>
      <c r="M17" s="102" t="str">
        <f>VLOOKUP($B17,'Standards Crosswalk'!$A:$H,3,FALSE)</f>
        <v>CSC 13</v>
      </c>
      <c r="N17" s="102">
        <f>VLOOKUP($B17,'Standards Crosswalk'!$A:$H,4,FALSE)</f>
        <v>0</v>
      </c>
      <c r="O17" s="102" t="str">
        <f>VLOOKUP($B17,'Standards Crosswalk'!$A:$H,5,FALSE)</f>
        <v>15.1.3</v>
      </c>
      <c r="P17" s="102" t="str">
        <f>VLOOKUP($B17,'Standards Crosswalk'!$A:$H,6,FALSE)</f>
        <v>ID.AM-6, PR-AT-3</v>
      </c>
      <c r="Q17" s="102" t="str">
        <f>VLOOKUP($B17,'Standards Crosswalk'!$A:$H,7,FALSE)</f>
        <v>3.8.2</v>
      </c>
      <c r="R17" s="102">
        <f>VLOOKUP($B17,'Standards Crosswalk'!$A:$H,8,FALSE)</f>
        <v>0</v>
      </c>
      <c r="S17" s="74">
        <f>VLOOKUP($B17,'Standards Crosswalk'!$A:$I,9,FALSE)</f>
        <v>12.8</v>
      </c>
      <c r="T17" s="73" t="str">
        <f>IF(I4="Yes","Third Parties","")</f>
        <v/>
      </c>
      <c r="U17" s="73" t="str">
        <f>IF(I4="Yes",(COUNTIFS(B:B,"THRD*",J:J,"=1")),"")</f>
        <v/>
      </c>
      <c r="V17" s="73" t="str">
        <f>IF(I4="Yes",(COUNTIF(B:B,"THRD*")),"")</f>
        <v/>
      </c>
      <c r="W17" s="73" t="str">
        <f>IF(I4="Yes",(SUMIFS(L:L,B:B, "THRD*")),"")</f>
        <v/>
      </c>
      <c r="X17" s="73" t="str">
        <f>IF(I4="Yes",(SUMIFS(K:K,B:B, "THRD*")),"")</f>
        <v/>
      </c>
      <c r="Y17" s="103" t="str">
        <f>IF(I4="Yes",(W17/X17),"")</f>
        <v/>
      </c>
    </row>
    <row r="18" spans="1:25" ht="15.75" customHeight="1" thickBot="1" x14ac:dyDescent="0.25">
      <c r="A18" s="73">
        <f t="shared" si="1"/>
        <v>16</v>
      </c>
      <c r="B18" s="97" t="s">
        <v>191</v>
      </c>
      <c r="C18" s="98" t="str">
        <f>VLOOKUP(B18,HECVAT!A:E,2,FALSE)</f>
        <v>What legal agreements (i.e. contracts) do you have in place with these third parties that address liability in the event of a data breach?</v>
      </c>
      <c r="D18" s="96">
        <f>VLOOKUP(B18,HECVAT!A:E,4,FALSE)</f>
        <v>0</v>
      </c>
      <c r="E18" s="81" t="b">
        <f>IF(Table1[[#This Row],[Column11]]&gt;20,TRUE,FALSE)</f>
        <v>1</v>
      </c>
      <c r="F18" s="99" t="s">
        <v>2107</v>
      </c>
      <c r="G18" s="82" t="s">
        <v>17</v>
      </c>
      <c r="H18" s="83">
        <v>1</v>
      </c>
      <c r="I18" s="96">
        <f>VLOOKUP(B18,HECVAT!A:E,3,FALSE)</f>
        <v>0</v>
      </c>
      <c r="J18" s="73">
        <f>IF(VLOOKUP(Table1[[#This Row],[Column2]],'Analyst Report'!$A$41:$G$88,7,FALSE)="Yes",1,0)</f>
        <v>0</v>
      </c>
      <c r="K18" s="73">
        <f>IF(Table1[[#This Row],[Column8]]=1,25,"")</f>
        <v>25</v>
      </c>
      <c r="L18" s="73">
        <f>IF(Table1[[#This Row],[Column8]]=1,J18*K18,"")</f>
        <v>0</v>
      </c>
      <c r="M18" s="102" t="str">
        <f>VLOOKUP($B18,'Standards Crosswalk'!$A:$H,3,FALSE)</f>
        <v>CSC 13</v>
      </c>
      <c r="N18" s="102">
        <f>VLOOKUP($B18,'Standards Crosswalk'!$A:$H,4,FALSE)</f>
        <v>0</v>
      </c>
      <c r="O18" s="102" t="str">
        <f>VLOOKUP($B18,'Standards Crosswalk'!$A:$H,5,FALSE)</f>
        <v>15.1.3</v>
      </c>
      <c r="P18" s="102" t="str">
        <f>VLOOKUP($B18,'Standards Crosswalk'!$A:$H,6,FALSE)</f>
        <v>ID.GV-3</v>
      </c>
      <c r="Q18" s="102">
        <f>VLOOKUP($B18,'Standards Crosswalk'!$A:$H,7,FALSE)</f>
        <v>0</v>
      </c>
      <c r="R18" s="102" t="str">
        <f>VLOOKUP($B18,'Standards Crosswalk'!$A:$H,8,FALSE)</f>
        <v>PS-3</v>
      </c>
      <c r="S18" s="74">
        <f>VLOOKUP($B18,'Standards Crosswalk'!$A:$I,9,FALSE)</f>
        <v>12.8</v>
      </c>
      <c r="T18" s="73" t="str">
        <f>IF(I5="Yes","Business Continuity Plan","")</f>
        <v/>
      </c>
      <c r="U18" s="73" t="str">
        <f>IF(I5="Yes",(COUNTIFS(B:B,"BCPL*",J:J,"=1")),"")</f>
        <v/>
      </c>
      <c r="V18" s="73" t="str">
        <f>IF(I5="Yes",(COUNTIF(B:B,"BCPL*")),"")</f>
        <v/>
      </c>
      <c r="W18" s="73" t="str">
        <f>IF(I5="Yes",(SUMIFS(L:L,B:B, "BCPL*")),"")</f>
        <v/>
      </c>
      <c r="X18" s="73" t="str">
        <f>IF(I5="Yes",(SUMIFS(K:K,B:B, "BCPL*")),"")</f>
        <v/>
      </c>
      <c r="Y18" s="103" t="str">
        <f>IF(I5="Yes",(W18/X18),"")</f>
        <v/>
      </c>
    </row>
    <row r="19" spans="1:25" ht="100.5" thickBot="1" x14ac:dyDescent="0.25">
      <c r="A19" s="73">
        <f t="shared" si="1"/>
        <v>17</v>
      </c>
      <c r="B19" s="97" t="s">
        <v>436</v>
      </c>
      <c r="C19" s="98" t="str">
        <f>VLOOKUP(B19,HECVAT!A:E,2,FALSE)</f>
        <v>Describe or provide references to your third party management strategy or provide additional information that may help analysts better understand your environment and how it relates to third-party solutions.</v>
      </c>
      <c r="D19" s="96">
        <f>VLOOKUP(B19,HECVAT!A:E,4,FALSE)</f>
        <v>0</v>
      </c>
      <c r="E19" s="81" t="b">
        <f>IF(Table1[[#This Row],[Column11]]&gt;20,TRUE,FALSE)</f>
        <v>1</v>
      </c>
      <c r="F19" s="99" t="s">
        <v>2107</v>
      </c>
      <c r="G19" s="82" t="s">
        <v>17</v>
      </c>
      <c r="H19" s="83">
        <v>1</v>
      </c>
      <c r="I19" s="96">
        <f>VLOOKUP(B19,HECVAT!A:E,3,FALSE)</f>
        <v>0</v>
      </c>
      <c r="J19" s="73">
        <f>IF(VLOOKUP(Table1[[#This Row],[Column2]],'Analyst Report'!$A$41:$G$88,7,FALSE)="Yes",1,0)</f>
        <v>0</v>
      </c>
      <c r="K19" s="73">
        <f>IF(Table1[[#This Row],[Column8]]=1,25,"")</f>
        <v>25</v>
      </c>
      <c r="L19" s="73">
        <f>IF(Table1[[#This Row],[Column8]]=1,J19*K19,"")</f>
        <v>0</v>
      </c>
      <c r="M19" s="102">
        <f>VLOOKUP($B19,'Standards Crosswalk'!$A:$H,3,FALSE)</f>
        <v>0</v>
      </c>
      <c r="N19" s="102">
        <f>VLOOKUP($B19,'Standards Crosswalk'!$A:$H,4,FALSE)</f>
        <v>0</v>
      </c>
      <c r="O19" s="102" t="str">
        <f>VLOOKUP($B19,'Standards Crosswalk'!$A:$H,5,FALSE)</f>
        <v>15.1.3</v>
      </c>
      <c r="P19" s="102" t="str">
        <f>VLOOKUP($B19,'Standards Crosswalk'!$A:$H,6,FALSE)</f>
        <v>ID.AM-6, PR.AT-3</v>
      </c>
      <c r="Q19" s="102">
        <f>VLOOKUP($B19,'Standards Crosswalk'!$A:$H,7,FALSE)</f>
        <v>0</v>
      </c>
      <c r="R19" s="102" t="str">
        <f>VLOOKUP($B19,'Standards Crosswalk'!$A:$H,8,FALSE)</f>
        <v>PS-5</v>
      </c>
      <c r="S19" s="74">
        <f>VLOOKUP($B19,'Standards Crosswalk'!$A:$I,9,FALSE)</f>
        <v>12.8</v>
      </c>
      <c r="T19" s="73" t="str">
        <f>IF(I7="Yes","Disaster Recovery Plan","")</f>
        <v/>
      </c>
      <c r="U19" s="73" t="str">
        <f>IF(I7="Yes",(COUNTIFS(B:B,"DRPL*",J:J,"=1")),"")</f>
        <v/>
      </c>
      <c r="V19" s="73" t="str">
        <f>IF(I7="Yes",(COUNTIF(B:B,"DRPL*")),"")</f>
        <v/>
      </c>
      <c r="W19" s="73" t="str">
        <f>IF(I7="Yes",(SUMIFS(L:L,B:B, "DRPL*")),"")</f>
        <v/>
      </c>
      <c r="X19" s="73" t="str">
        <f>IF(I7="Yes",(SUMIFS(K:K,B:B, "DRPL*")),"")</f>
        <v/>
      </c>
      <c r="Y19" s="103" t="str">
        <f t="shared" ref="Y19:Y21" si="3">IF(I7="Yes",(W19/X19),"")</f>
        <v/>
      </c>
    </row>
    <row r="20" spans="1:25" ht="29.25" thickBot="1" x14ac:dyDescent="0.25">
      <c r="A20" s="73">
        <f t="shared" si="1"/>
        <v>18</v>
      </c>
      <c r="B20" s="97" t="s">
        <v>192</v>
      </c>
      <c r="C20" s="98" t="str">
        <f>VLOOKUP(B20,HECVAT!A:E,2,FALSE)</f>
        <v>Will the consulting take place on-premises?</v>
      </c>
      <c r="D20" s="96">
        <f>VLOOKUP(B20,HECVAT!A:E,4,FALSE)</f>
        <v>0</v>
      </c>
      <c r="E20" s="81" t="b">
        <f>IF(Table1[[#This Row],[Column11]]&gt;20,TRUE,FALSE)</f>
        <v>0</v>
      </c>
      <c r="F20" s="81" t="s">
        <v>94</v>
      </c>
      <c r="G20" s="100" t="s">
        <v>17</v>
      </c>
      <c r="H20" s="101">
        <v>1</v>
      </c>
      <c r="I20" s="96">
        <f>VLOOKUP(B20,HECVAT!A:E,3,FALSE)</f>
        <v>0</v>
      </c>
      <c r="J20" s="73">
        <f>IF(Table1[[#This Row],[Column7]]=Table1[[#This Row],[Column9]],1,0)</f>
        <v>0</v>
      </c>
      <c r="K20" s="73">
        <f>IF(Table1[[#This Row],[Column8]]=1,20,"")</f>
        <v>20</v>
      </c>
      <c r="L20" s="73">
        <f>IF(Table1[[#This Row],[Column8]]=1,J20*K20,"")</f>
        <v>0</v>
      </c>
      <c r="M20" s="74">
        <f>VLOOKUP($B20,'Standards Crosswalk'!$A:$H,3,FALSE)</f>
        <v>0</v>
      </c>
      <c r="N20" s="102">
        <f>VLOOKUP($B20,'Standards Crosswalk'!$A:$H,4,FALSE)</f>
        <v>0</v>
      </c>
      <c r="O20" s="102" t="str">
        <f>VLOOKUP($B20,'Standards Crosswalk'!$A:$H,5,FALSE)</f>
        <v>15.2.1</v>
      </c>
      <c r="P20" s="102" t="str">
        <f>VLOOKUP($B20,'Standards Crosswalk'!$A:$H,6,FALSE)</f>
        <v>ID.AM-6, PR.AT-3</v>
      </c>
      <c r="Q20" s="102">
        <f>VLOOKUP($B20,'Standards Crosswalk'!$A:$H,7,FALSE)</f>
        <v>0</v>
      </c>
      <c r="R20" s="102">
        <f>VLOOKUP($B20,'Standards Crosswalk'!$A:$H,8,FALSE)</f>
        <v>0</v>
      </c>
      <c r="S20" s="74">
        <f>VLOOKUP($B20,'Standards Crosswalk'!$A:$I,9,FALSE)</f>
        <v>0</v>
      </c>
      <c r="T20" s="73" t="str">
        <f>IF(I8="Yes","PCI DSS","")</f>
        <v/>
      </c>
      <c r="U20" s="73" t="str">
        <f>IF(I8="Yes",(COUNTIFS(B:B,"PCID*",J:J,"=1")),"")</f>
        <v/>
      </c>
      <c r="V20" s="73" t="str">
        <f>IF(I8="Yes",(COUNTIF(B:B,"PCID*")),"")</f>
        <v/>
      </c>
      <c r="W20" s="73" t="str">
        <f>IF(I8="Yes",(SUMIFS(L:L,B:B, "PCID*")),"")</f>
        <v/>
      </c>
      <c r="X20" s="73" t="str">
        <f>IF(I8="Yes",(SUMIFS(K:K,B:B, "PCID*")),"")</f>
        <v/>
      </c>
      <c r="Y20" s="103" t="str">
        <f t="shared" si="3"/>
        <v/>
      </c>
    </row>
    <row r="21" spans="1:25" ht="29.25" thickBot="1" x14ac:dyDescent="0.25">
      <c r="A21" s="73">
        <f t="shared" si="1"/>
        <v>19</v>
      </c>
      <c r="B21" s="79" t="s">
        <v>193</v>
      </c>
      <c r="C21" s="80" t="str">
        <f>VLOOKUP(B21,HECVAT!A:E,2,FALSE)</f>
        <v>Will the consultant require access to Institution's network resources?</v>
      </c>
      <c r="D21" s="73">
        <f>VLOOKUP(B21,HECVAT!A:E,4,FALSE)</f>
        <v>0</v>
      </c>
      <c r="E21" s="81" t="b">
        <f>IF(Table1[[#This Row],[Column11]]&gt;20,TRUE,FALSE)</f>
        <v>0</v>
      </c>
      <c r="F21" s="81" t="s">
        <v>94</v>
      </c>
      <c r="G21" s="82" t="s">
        <v>21</v>
      </c>
      <c r="H21" s="83">
        <v>1</v>
      </c>
      <c r="I21" s="96">
        <f>VLOOKUP(B21,HECVAT!A:E,3,FALSE)</f>
        <v>0</v>
      </c>
      <c r="J21" s="73">
        <f>IF(Table1[[#This Row],[Column7]]=Table1[[#This Row],[Column9]],1,0)</f>
        <v>0</v>
      </c>
      <c r="K21" s="73">
        <f>IF(Table1[[#This Row],[Column8]]=1,20,"")</f>
        <v>20</v>
      </c>
      <c r="L21" s="73">
        <f>IF(Table1[[#This Row],[Column8]]=1,J21*K21,"")</f>
        <v>0</v>
      </c>
      <c r="M21" s="74" t="str">
        <f>VLOOKUP($B21,'Standards Crosswalk'!$A:$H,3,FALSE)</f>
        <v>CSC 14</v>
      </c>
      <c r="N21" s="74">
        <f>VLOOKUP($B21,'Standards Crosswalk'!$A:$H,4,FALSE)</f>
        <v>0</v>
      </c>
      <c r="O21" s="74" t="str">
        <f>VLOOKUP($B21,'Standards Crosswalk'!$A:$H,5,FALSE)</f>
        <v>9.1.2</v>
      </c>
      <c r="P21" s="74" t="str">
        <f>VLOOKUP($B21,'Standards Crosswalk'!$A:$H,6,FALSE)</f>
        <v>ID.AM-6, PR.AT-3</v>
      </c>
      <c r="Q21" s="74" t="str">
        <f>VLOOKUP($B21,'Standards Crosswalk'!$A:$H,7,FALSE)</f>
        <v>3.1.2, 3.1.3</v>
      </c>
      <c r="R21" s="74" t="str">
        <f>VLOOKUP($B21,'Standards Crosswalk'!$A:$H,8,FALSE)</f>
        <v>AC-4</v>
      </c>
      <c r="S21" s="74">
        <f>VLOOKUP($B21,'Standards Crosswalk'!$A:$I,9,FALSE)</f>
        <v>0</v>
      </c>
      <c r="T21" s="73" t="str">
        <f>IF(I9="Yes","Consulting Only","")</f>
        <v/>
      </c>
      <c r="U21" s="73" t="str">
        <f>IF(I9="Yes",(COUNTIFS(B:B,"CONS*",J:J,"=1")),"")</f>
        <v/>
      </c>
      <c r="V21" s="73" t="str">
        <f>IF(I9="Yes",(COUNTIF(B:B,"CONS*")),"")</f>
        <v/>
      </c>
      <c r="W21" s="73" t="str">
        <f>IF(I9="Yes",(SUMIFS(L:L,B:B, "CONS*")),"")</f>
        <v/>
      </c>
      <c r="X21" s="73" t="str">
        <f>IF(I9="Yes",(SUMIFS(K:K,B:B, "CONS*")),"")</f>
        <v/>
      </c>
      <c r="Y21" s="103" t="str">
        <f t="shared" si="3"/>
        <v/>
      </c>
    </row>
    <row r="22" spans="1:25" ht="43.5" thickBot="1" x14ac:dyDescent="0.25">
      <c r="A22" s="73">
        <f t="shared" si="1"/>
        <v>20</v>
      </c>
      <c r="B22" s="79" t="s">
        <v>194</v>
      </c>
      <c r="C22" s="80" t="str">
        <f>VLOOKUP(B22,HECVAT!A:E,2,FALSE)</f>
        <v>Will the consultant require access to hardware in the Institution's data centers?</v>
      </c>
      <c r="D22" s="73">
        <f>VLOOKUP(B22,HECVAT!A:E,4,FALSE)</f>
        <v>0</v>
      </c>
      <c r="E22" s="81" t="b">
        <f>IF(Table1[[#This Row],[Column11]]&gt;20,TRUE,FALSE)</f>
        <v>1</v>
      </c>
      <c r="F22" s="81" t="s">
        <v>94</v>
      </c>
      <c r="G22" s="82" t="s">
        <v>21</v>
      </c>
      <c r="H22" s="83">
        <v>1</v>
      </c>
      <c r="I22" s="96">
        <f>VLOOKUP(B22,HECVAT!A:E,3,FALSE)</f>
        <v>0</v>
      </c>
      <c r="J22" s="73">
        <f>IF(Table1[[#This Row],[Column7]]=Table1[[#This Row],[Column9]],1,0)</f>
        <v>0</v>
      </c>
      <c r="K22" s="73">
        <f>IF(Table1[[#This Row],[Column8]]=1,25,"")</f>
        <v>25</v>
      </c>
      <c r="L22" s="73">
        <f>IF(Table1[[#This Row],[Column8]]=1,J22*K22,"")</f>
        <v>0</v>
      </c>
      <c r="M22" s="74" t="str">
        <f>VLOOKUP($B22,'Standards Crosswalk'!$A:$H,3,FALSE)</f>
        <v>CSC 14</v>
      </c>
      <c r="N22" s="74">
        <f>VLOOKUP($B22,'Standards Crosswalk'!$A:$H,4,FALSE)</f>
        <v>0</v>
      </c>
      <c r="O22" s="74" t="str">
        <f>VLOOKUP($B22,'Standards Crosswalk'!$A:$H,5,FALSE)</f>
        <v>9.2.6</v>
      </c>
      <c r="P22" s="74" t="str">
        <f>VLOOKUP($B22,'Standards Crosswalk'!$A:$H,6,FALSE)</f>
        <v>ID.AM-6, PR.AT-3</v>
      </c>
      <c r="Q22" s="74" t="str">
        <f>VLOOKUP($B22,'Standards Crosswalk'!$A:$H,7,FALSE)</f>
        <v>3.1.2</v>
      </c>
      <c r="R22" s="74">
        <f>VLOOKUP($B22,'Standards Crosswalk'!$A:$H,8,FALSE)</f>
        <v>0</v>
      </c>
      <c r="S22" s="74">
        <f>VLOOKUP($B22,'Standards Crosswalk'!$A:$I,9,FALSE)</f>
        <v>0</v>
      </c>
      <c r="W22" s="73" t="s">
        <v>2119</v>
      </c>
      <c r="Y22" s="73" t="s">
        <v>2120</v>
      </c>
    </row>
    <row r="23" spans="1:25" ht="43.5" thickBot="1" x14ac:dyDescent="0.25">
      <c r="A23" s="73">
        <f t="shared" si="1"/>
        <v>21</v>
      </c>
      <c r="B23" s="79" t="s">
        <v>195</v>
      </c>
      <c r="C23" s="80" t="str">
        <f>VLOOKUP(B23,HECVAT!A:E,2,FALSE)</f>
        <v>Will the consultant require an account within the Institution's domain (@*.edu)?</v>
      </c>
      <c r="D23" s="73">
        <f>VLOOKUP(B23,HECVAT!A:E,4,FALSE)</f>
        <v>0</v>
      </c>
      <c r="E23" s="81" t="b">
        <f>IF(Table1[[#This Row],[Column11]]&gt;20,TRUE,FALSE)</f>
        <v>0</v>
      </c>
      <c r="F23" s="81" t="s">
        <v>94</v>
      </c>
      <c r="G23" s="82" t="s">
        <v>21</v>
      </c>
      <c r="H23" s="83">
        <v>1</v>
      </c>
      <c r="I23" s="96">
        <f>VLOOKUP(B23,HECVAT!A:E,3,FALSE)</f>
        <v>0</v>
      </c>
      <c r="J23" s="73">
        <f>IF(Table1[[#This Row],[Column7]]=Table1[[#This Row],[Column9]],1,0)</f>
        <v>0</v>
      </c>
      <c r="K23" s="73">
        <f>IF(Table1[[#This Row],[Column8]]=1,20,"")</f>
        <v>20</v>
      </c>
      <c r="L23" s="73">
        <f>IF(Table1[[#This Row],[Column8]]=1,J23*K23,"")</f>
        <v>0</v>
      </c>
      <c r="M23" s="74" t="str">
        <f>VLOOKUP($B23,'Standards Crosswalk'!$A:$H,3,FALSE)</f>
        <v>CSC 14</v>
      </c>
      <c r="N23" s="74">
        <f>VLOOKUP($B23,'Standards Crosswalk'!$A:$H,4,FALSE)</f>
        <v>0</v>
      </c>
      <c r="O23" s="74">
        <f>VLOOKUP($B23,'Standards Crosswalk'!$A:$H,5,FALSE)</f>
        <v>0</v>
      </c>
      <c r="P23" s="74" t="str">
        <f>VLOOKUP($B23,'Standards Crosswalk'!$A:$H,6,FALSE)</f>
        <v>ID.AM-6, PR.AT-3</v>
      </c>
      <c r="Q23" s="74">
        <f>VLOOKUP($B23,'Standards Crosswalk'!$A:$H,7,FALSE)</f>
        <v>0</v>
      </c>
      <c r="R23" s="74">
        <f>VLOOKUP($B23,'Standards Crosswalk'!$A:$H,8,FALSE)</f>
        <v>0</v>
      </c>
      <c r="S23" s="74">
        <f>VLOOKUP($B23,'Standards Crosswalk'!$A:$I,9,FALSE)</f>
        <v>0</v>
      </c>
      <c r="T23" s="93"/>
      <c r="U23" s="94">
        <f>SUM(U7:U21)</f>
        <v>0</v>
      </c>
      <c r="V23" s="94">
        <f>SUM(V7:V21)</f>
        <v>97</v>
      </c>
      <c r="W23" s="107">
        <f>AVERAGE(Y2:Y21)</f>
        <v>0</v>
      </c>
      <c r="X23" s="93" t="str">
        <f>IF(W23&gt;=0.9,"A",IF(W23&gt;=0.8,"B",IF(W23&gt;=0.7,"C",IF(W23&gt;=0.6,"D","F"))))</f>
        <v>F</v>
      </c>
      <c r="Y23" s="93">
        <f>SUM(W2:W21)</f>
        <v>0</v>
      </c>
    </row>
    <row r="24" spans="1:25" ht="43.5" thickBot="1" x14ac:dyDescent="0.25">
      <c r="A24" s="73">
        <f t="shared" si="1"/>
        <v>22</v>
      </c>
      <c r="B24" s="79" t="s">
        <v>196</v>
      </c>
      <c r="C24" s="80" t="str">
        <f>VLOOKUP(B24,HECVAT!A:E,2,FALSE)</f>
        <v>Has the consultant received training on [sensitive, HIPAA, PCI, etc.] data handling?</v>
      </c>
      <c r="D24" s="73">
        <f>VLOOKUP(B24,HECVAT!A:E,4,FALSE)</f>
        <v>0</v>
      </c>
      <c r="E24" s="81" t="b">
        <f>IF(Table1[[#This Row],[Column11]]&gt;20,TRUE,FALSE)</f>
        <v>0</v>
      </c>
      <c r="F24" s="81" t="s">
        <v>94</v>
      </c>
      <c r="G24" s="82" t="s">
        <v>17</v>
      </c>
      <c r="H24" s="83">
        <v>1</v>
      </c>
      <c r="I24" s="96">
        <f>VLOOKUP(B24,HECVAT!A:E,3,FALSE)</f>
        <v>0</v>
      </c>
      <c r="J24" s="73">
        <f>IF(Table1[[#This Row],[Column7]]=Table1[[#This Row],[Column9]],1,0)</f>
        <v>0</v>
      </c>
      <c r="K24" s="73">
        <f>IF(Table1[[#This Row],[Column8]]=1,20,"")</f>
        <v>20</v>
      </c>
      <c r="L24" s="73">
        <f>IF(Table1[[#This Row],[Column8]]=1,J24*K24,"")</f>
        <v>0</v>
      </c>
      <c r="M24" s="74" t="str">
        <f>VLOOKUP($B24,'Standards Crosswalk'!$A:$H,3,FALSE)</f>
        <v>CSC 13</v>
      </c>
      <c r="N24" s="74">
        <f>VLOOKUP($B24,'Standards Crosswalk'!$A:$H,4,FALSE)</f>
        <v>0</v>
      </c>
      <c r="O24" s="74" t="str">
        <f>VLOOKUP($B24,'Standards Crosswalk'!$A:$H,5,FALSE)</f>
        <v>18.1.1</v>
      </c>
      <c r="P24" s="74" t="str">
        <f>VLOOKUP($B24,'Standards Crosswalk'!$A:$H,6,FALSE)</f>
        <v>ID.AM-6, PR.AT-3</v>
      </c>
      <c r="Q24" s="74">
        <f>VLOOKUP($B24,'Standards Crosswalk'!$A:$H,7,FALSE)</f>
        <v>0</v>
      </c>
      <c r="R24" s="74">
        <f>VLOOKUP($B24,'Standards Crosswalk'!$A:$H,8,FALSE)</f>
        <v>0</v>
      </c>
      <c r="S24" s="74">
        <f>VLOOKUP($B24,'Standards Crosswalk'!$A:$I,9,FALSE)</f>
        <v>0</v>
      </c>
    </row>
    <row r="25" spans="1:25" ht="29.25" thickBot="1" x14ac:dyDescent="0.25">
      <c r="A25" s="73">
        <f t="shared" si="1"/>
        <v>23</v>
      </c>
      <c r="B25" s="79" t="s">
        <v>197</v>
      </c>
      <c r="C25" s="80" t="str">
        <f>VLOOKUP(B25,HECVAT!A:E,2,FALSE)</f>
        <v>Will any data be transferred to the consultant's possession?</v>
      </c>
      <c r="D25" s="73">
        <f>VLOOKUP(B25,HECVAT!A:E,4,FALSE)</f>
        <v>0</v>
      </c>
      <c r="E25" s="81" t="b">
        <f>IF(Table1[[#This Row],[Column11]]&gt;20,TRUE,FALSE)</f>
        <v>1</v>
      </c>
      <c r="F25" s="81" t="s">
        <v>94</v>
      </c>
      <c r="G25" s="82" t="s">
        <v>21</v>
      </c>
      <c r="H25" s="83">
        <v>1</v>
      </c>
      <c r="I25" s="96">
        <f>VLOOKUP(B25,HECVAT!A:E,3,FALSE)</f>
        <v>0</v>
      </c>
      <c r="J25" s="73">
        <f>IF(Table1[[#This Row],[Column7]]=Table1[[#This Row],[Column9]],1,0)</f>
        <v>0</v>
      </c>
      <c r="K25" s="73">
        <f>IF(Table1[[#This Row],[Column8]]=1,25,"")</f>
        <v>25</v>
      </c>
      <c r="L25" s="73">
        <f>IF(Table1[[#This Row],[Column8]]=1,J25*K25,"")</f>
        <v>0</v>
      </c>
      <c r="M25" s="74" t="str">
        <f>VLOOKUP($B25,'Standards Crosswalk'!$A:$H,3,FALSE)</f>
        <v>CSC 13</v>
      </c>
      <c r="N25" s="74">
        <f>VLOOKUP($B25,'Standards Crosswalk'!$A:$H,4,FALSE)</f>
        <v>0</v>
      </c>
      <c r="O25" s="74" t="str">
        <f>VLOOKUP($B25,'Standards Crosswalk'!$A:$H,5,FALSE)</f>
        <v>9</v>
      </c>
      <c r="P25" s="74" t="str">
        <f>VLOOKUP($B25,'Standards Crosswalk'!$A:$H,6,FALSE)</f>
        <v>ID.AM-6, PR.AT-3</v>
      </c>
      <c r="Q25" s="74" t="str">
        <f>VLOOKUP($B25,'Standards Crosswalk'!$A:$H,7,FALSE)</f>
        <v>3.8.2</v>
      </c>
      <c r="R25" s="74" t="str">
        <f>VLOOKUP($B25,'Standards Crosswalk'!$A:$H,8,FALSE)</f>
        <v>MP-2</v>
      </c>
      <c r="S25" s="74">
        <f>VLOOKUP($B25,'Standards Crosswalk'!$A:$I,9,FALSE)</f>
        <v>0</v>
      </c>
    </row>
    <row r="26" spans="1:25" ht="29.25" thickBot="1" x14ac:dyDescent="0.25">
      <c r="A26" s="73">
        <f t="shared" si="1"/>
        <v>24</v>
      </c>
      <c r="B26" s="97" t="s">
        <v>198</v>
      </c>
      <c r="C26" s="80" t="str">
        <f>VLOOKUP(B26,HECVAT!A:E,2,FALSE)</f>
        <v>Is it encrypted (at rest) while in the consultant's possession?</v>
      </c>
      <c r="D26" s="73">
        <f>VLOOKUP(B26,HECVAT!A:E,4,FALSE)</f>
        <v>0</v>
      </c>
      <c r="E26" s="81" t="b">
        <f>IF(Table1[[#This Row],[Column11]]&gt;20,TRUE,FALSE)</f>
        <v>1</v>
      </c>
      <c r="F26" s="81" t="s">
        <v>94</v>
      </c>
      <c r="G26" s="82" t="s">
        <v>17</v>
      </c>
      <c r="H26" s="83">
        <f>IF(I25="Yes",1,0)</f>
        <v>0</v>
      </c>
      <c r="I26" s="96">
        <f>VLOOKUP(B26,HECVAT!A:E,3,FALSE)</f>
        <v>0</v>
      </c>
      <c r="J26" s="73">
        <f>IF(Table1[[#This Row],[Column7]]=Table1[[#This Row],[Column9]],1,0)</f>
        <v>0</v>
      </c>
      <c r="K26" s="73" t="str">
        <f>IF(Table1[[#This Row],[Column8]]=1,25,"")</f>
        <v/>
      </c>
      <c r="L26" s="73" t="str">
        <f>IF(Table1[[#This Row],[Column8]]=1,J26*K26,"")</f>
        <v/>
      </c>
      <c r="M26" s="74" t="str">
        <f>VLOOKUP($B26,'Standards Crosswalk'!$A:$H,3,FALSE)</f>
        <v>CSC 13</v>
      </c>
      <c r="N26" s="74">
        <f>VLOOKUP($B26,'Standards Crosswalk'!$A:$H,4,FALSE)</f>
        <v>0</v>
      </c>
      <c r="O26" s="74" t="str">
        <f>VLOOKUP($B26,'Standards Crosswalk'!$A:$H,5,FALSE)</f>
        <v>10</v>
      </c>
      <c r="P26" s="74" t="str">
        <f>VLOOKUP($B26,'Standards Crosswalk'!$A:$H,6,FALSE)</f>
        <v>ID.AM-6, PR.AT-3</v>
      </c>
      <c r="Q26" s="74" t="str">
        <f>VLOOKUP($B26,'Standards Crosswalk'!$A:$H,7,FALSE)</f>
        <v>3.1.2, 3.1.19, 3.8.2</v>
      </c>
      <c r="R26" s="74" t="str">
        <f>VLOOKUP($B26,'Standards Crosswalk'!$A:$H,8,FALSE)</f>
        <v>MP-2</v>
      </c>
      <c r="S26" s="74">
        <f>VLOOKUP($B26,'Standards Crosswalk'!$A:$I,9,FALSE)</f>
        <v>0</v>
      </c>
    </row>
    <row r="27" spans="1:25" ht="43.5" thickBot="1" x14ac:dyDescent="0.25">
      <c r="A27" s="73">
        <f t="shared" si="1"/>
        <v>25</v>
      </c>
      <c r="B27" s="79" t="s">
        <v>199</v>
      </c>
      <c r="C27" s="80" t="str">
        <f>VLOOKUP(B27,HECVAT!A:E,2,FALSE)</f>
        <v>Will the consultant need remote access to the Institution's network or systems?</v>
      </c>
      <c r="D27" s="73">
        <f>VLOOKUP(B27,HECVAT!A:E,4,FALSE)</f>
        <v>0</v>
      </c>
      <c r="E27" s="81" t="b">
        <f>IF(Table1[[#This Row],[Column11]]&gt;20,TRUE,FALSE)</f>
        <v>1</v>
      </c>
      <c r="F27" s="81" t="s">
        <v>94</v>
      </c>
      <c r="G27" s="100" t="s">
        <v>21</v>
      </c>
      <c r="H27" s="83">
        <v>1</v>
      </c>
      <c r="I27" s="96">
        <f>VLOOKUP(B27,HECVAT!A:E,3,FALSE)</f>
        <v>0</v>
      </c>
      <c r="J27" s="73">
        <f>IF(Table1[[#This Row],[Column7]]=Table1[[#This Row],[Column9]],1,0)</f>
        <v>0</v>
      </c>
      <c r="K27" s="73">
        <f>IF(Table1[[#This Row],[Column8]]=1,25,"")</f>
        <v>25</v>
      </c>
      <c r="L27" s="73">
        <f>IF(Table1[[#This Row],[Column8]]=1,J27*K27,"")</f>
        <v>0</v>
      </c>
      <c r="M27" s="74" t="str">
        <f>VLOOKUP($B27,'Standards Crosswalk'!$A:$H,3,FALSE)</f>
        <v>CSC 14</v>
      </c>
      <c r="N27" s="74">
        <f>VLOOKUP($B27,'Standards Crosswalk'!$A:$H,4,FALSE)</f>
        <v>0</v>
      </c>
      <c r="O27" s="74" t="str">
        <f>VLOOKUP($B27,'Standards Crosswalk'!$A:$H,5,FALSE)</f>
        <v>9</v>
      </c>
      <c r="P27" s="74" t="str">
        <f>VLOOKUP($B27,'Standards Crosswalk'!$A:$H,6,FALSE)</f>
        <v>ID.AM-6, PR.AT-3</v>
      </c>
      <c r="Q27" s="74">
        <f>VLOOKUP($B27,'Standards Crosswalk'!$A:$H,7,FALSE)</f>
        <v>0</v>
      </c>
      <c r="R27" s="74">
        <f>VLOOKUP($B27,'Standards Crosswalk'!$A:$H,8,FALSE)</f>
        <v>0</v>
      </c>
      <c r="S27" s="74">
        <f>VLOOKUP($B27,'Standards Crosswalk'!$A:$I,9,FALSE)</f>
        <v>0</v>
      </c>
    </row>
    <row r="28" spans="1:25" ht="29.25" thickBot="1" x14ac:dyDescent="0.25">
      <c r="A28" s="73">
        <f t="shared" si="1"/>
        <v>26</v>
      </c>
      <c r="B28" s="97" t="s">
        <v>200</v>
      </c>
      <c r="C28" s="80" t="str">
        <f>VLOOKUP(B28,HECVAT!A:E,2,FALSE)</f>
        <v>Can we restrict that access based on source IP address?</v>
      </c>
      <c r="D28" s="73">
        <f>VLOOKUP(B28,HECVAT!A:E,4,FALSE)</f>
        <v>0</v>
      </c>
      <c r="E28" s="81" t="b">
        <f>IF(Table1[[#This Row],[Column11]]&gt;20,TRUE,FALSE)</f>
        <v>1</v>
      </c>
      <c r="F28" s="81" t="s">
        <v>94</v>
      </c>
      <c r="G28" s="100" t="s">
        <v>17</v>
      </c>
      <c r="H28" s="83">
        <f>IF(I27="Yes",1,0)</f>
        <v>0</v>
      </c>
      <c r="I28" s="96">
        <f>VLOOKUP(B28,HECVAT!A:E,3,FALSE)</f>
        <v>0</v>
      </c>
      <c r="J28" s="73">
        <f>IF(OR(Table1[[#This Row],[Column7]]=Table1[[#This Row],[Column9]],Table1[[#This Row],[Column9]]="N/A"),1,0)</f>
        <v>0</v>
      </c>
      <c r="K28" s="73" t="str">
        <f>IF(Table1[[#This Row],[Column8]]=1,20,"")</f>
        <v/>
      </c>
      <c r="L28" s="73" t="str">
        <f>IF(Table1[[#This Row],[Column8]]=1,J28*K28,"")</f>
        <v/>
      </c>
      <c r="M28" s="74">
        <f>VLOOKUP($B28,'Standards Crosswalk'!$A:$H,3,FALSE)</f>
        <v>0</v>
      </c>
      <c r="N28" s="74">
        <f>VLOOKUP($B28,'Standards Crosswalk'!$A:$H,4,FALSE)</f>
        <v>0</v>
      </c>
      <c r="O28" s="74" t="str">
        <f>VLOOKUP($B28,'Standards Crosswalk'!$A:$H,5,FALSE)</f>
        <v>9</v>
      </c>
      <c r="P28" s="74" t="str">
        <f>VLOOKUP($B28,'Standards Crosswalk'!$A:$H,6,FALSE)</f>
        <v>ID.AM-6, PR.AT-3</v>
      </c>
      <c r="Q28" s="74">
        <f>VLOOKUP($B28,'Standards Crosswalk'!$A:$H,7,FALSE)</f>
        <v>0</v>
      </c>
      <c r="R28" s="74">
        <f>VLOOKUP($B28,'Standards Crosswalk'!$A:$H,8,FALSE)</f>
        <v>0</v>
      </c>
      <c r="S28" s="74">
        <f>VLOOKUP($B28,'Standards Crosswalk'!$A:$I,9,FALSE)</f>
        <v>0</v>
      </c>
    </row>
    <row r="29" spans="1:25" ht="43.5" thickBot="1" x14ac:dyDescent="0.25">
      <c r="A29" s="73">
        <f t="shared" si="1"/>
        <v>27</v>
      </c>
      <c r="B29" s="79" t="s">
        <v>201</v>
      </c>
      <c r="C29" s="80" t="str">
        <f>VLOOKUP(B29,HECVAT!A:E,2,FALSE)</f>
        <v>Do you support role-based access control (RBAC) for end-users?</v>
      </c>
      <c r="D29" s="73">
        <f>VLOOKUP(B29,HECVAT!A:E,4,FALSE)</f>
        <v>0</v>
      </c>
      <c r="E29" s="81" t="b">
        <f>IF(Table1[[#This Row],[Column11]]&gt;20,TRUE,FALSE)</f>
        <v>1</v>
      </c>
      <c r="F29" s="88" t="s">
        <v>2047</v>
      </c>
      <c r="G29" s="82" t="s">
        <v>17</v>
      </c>
      <c r="H29" s="83">
        <v>1</v>
      </c>
      <c r="I29" s="73">
        <f>VLOOKUP(B29,HECVAT!A:E,3,FALSE)</f>
        <v>0</v>
      </c>
      <c r="J29" s="73">
        <f>IF(Table1[[#This Row],[Column7]]=Table1[[#This Row],[Column9]],1,0)</f>
        <v>0</v>
      </c>
      <c r="K29" s="73">
        <f>IF(Table1[[#This Row],[Column8]]=1,25,"")</f>
        <v>25</v>
      </c>
      <c r="L29" s="73">
        <f>IF(Table1[[#This Row],[Column8]]=1,J29*K29,"")</f>
        <v>0</v>
      </c>
      <c r="M29" s="74" t="str">
        <f>VLOOKUP($B29,'Standards Crosswalk'!$A:$H,3,FALSE)</f>
        <v>CSC 18</v>
      </c>
      <c r="N29" s="74">
        <f>VLOOKUP($B29,'Standards Crosswalk'!$A:$H,4,FALSE)</f>
        <v>0</v>
      </c>
      <c r="O29" s="74">
        <f>VLOOKUP($B29,'Standards Crosswalk'!$A:$H,5,FALSE)</f>
        <v>0</v>
      </c>
      <c r="P29" s="74" t="str">
        <f>VLOOKUP($B29,'Standards Crosswalk'!$A:$H,6,FALSE)</f>
        <v>ID.AM-5</v>
      </c>
      <c r="Q29" s="74">
        <f>VLOOKUP($B29,'Standards Crosswalk'!$A:$H,7,FALSE)</f>
        <v>0</v>
      </c>
      <c r="R29" s="74">
        <f>VLOOKUP($B29,'Standards Crosswalk'!$A:$H,8,FALSE)</f>
        <v>0</v>
      </c>
      <c r="S29" s="74">
        <f>VLOOKUP($B29,'Standards Crosswalk'!$A:$I,9,FALSE)</f>
        <v>0</v>
      </c>
    </row>
    <row r="30" spans="1:25" ht="43.5" thickBot="1" x14ac:dyDescent="0.25">
      <c r="A30" s="73">
        <f t="shared" si="1"/>
        <v>28</v>
      </c>
      <c r="B30" s="79" t="s">
        <v>202</v>
      </c>
      <c r="C30" s="80" t="str">
        <f>VLOOKUP(B30,HECVAT!A:E,2,FALSE)</f>
        <v>Do you support role-based access control (RBAC) for system administrators?</v>
      </c>
      <c r="D30" s="73">
        <f>VLOOKUP(B30,HECVAT!A:E,4,FALSE)</f>
        <v>0</v>
      </c>
      <c r="E30" s="81" t="b">
        <f>IF(Table1[[#This Row],[Column11]]&gt;20,TRUE,FALSE)</f>
        <v>1</v>
      </c>
      <c r="F30" s="88" t="s">
        <v>2047</v>
      </c>
      <c r="G30" s="82" t="s">
        <v>17</v>
      </c>
      <c r="H30" s="83">
        <v>1</v>
      </c>
      <c r="I30" s="73">
        <f>VLOOKUP(B30,HECVAT!A:E,3,FALSE)</f>
        <v>0</v>
      </c>
      <c r="J30" s="73">
        <f>IF(Table1[[#This Row],[Column7]]=Table1[[#This Row],[Column9]],1,0)</f>
        <v>0</v>
      </c>
      <c r="K30" s="73">
        <f>IF(Table1[[#This Row],[Column8]]=1,25,"")</f>
        <v>25</v>
      </c>
      <c r="L30" s="73">
        <f>IF(Table1[[#This Row],[Column8]]=1,J30*K30,"")</f>
        <v>0</v>
      </c>
      <c r="M30" s="74" t="str">
        <f>VLOOKUP($B30,'Standards Crosswalk'!$A:$H,3,FALSE)</f>
        <v>CSC 2, CSC 3</v>
      </c>
      <c r="N30" s="74">
        <f>VLOOKUP($B30,'Standards Crosswalk'!$A:$H,4,FALSE)</f>
        <v>0</v>
      </c>
      <c r="O30" s="74" t="str">
        <f>VLOOKUP($B30,'Standards Crosswalk'!$A:$H,5,FALSE)</f>
        <v>11.2.6</v>
      </c>
      <c r="P30" s="74" t="str">
        <f>VLOOKUP($B30,'Standards Crosswalk'!$A:$H,6,FALSE)</f>
        <v>ID.AM-5</v>
      </c>
      <c r="Q30" s="74">
        <f>VLOOKUP($B30,'Standards Crosswalk'!$A:$H,7,FALSE)</f>
        <v>0</v>
      </c>
      <c r="R30" s="74">
        <f>VLOOKUP($B30,'Standards Crosswalk'!$A:$H,8,FALSE)</f>
        <v>0</v>
      </c>
      <c r="S30" s="74">
        <f>VLOOKUP($B30,'Standards Crosswalk'!$A:$I,9,FALSE)</f>
        <v>0</v>
      </c>
    </row>
    <row r="31" spans="1:25" ht="43.5" thickBot="1" x14ac:dyDescent="0.25">
      <c r="A31" s="73">
        <f t="shared" si="1"/>
        <v>29</v>
      </c>
      <c r="B31" s="79" t="s">
        <v>553</v>
      </c>
      <c r="C31" s="80" t="str">
        <f>VLOOKUP(B31,HECVAT!A:E,2,FALSE)</f>
        <v>Can employees access customer data remotely?</v>
      </c>
      <c r="D31" s="73">
        <f>VLOOKUP(B31,HECVAT!A:E,4,FALSE)</f>
        <v>0</v>
      </c>
      <c r="E31" s="81" t="b">
        <f>IF(Table1[[#This Row],[Column11]]&gt;20,TRUE,FALSE)</f>
        <v>0</v>
      </c>
      <c r="F31" s="88" t="s">
        <v>2047</v>
      </c>
      <c r="G31" s="82" t="s">
        <v>17</v>
      </c>
      <c r="H31" s="83">
        <v>1</v>
      </c>
      <c r="I31" s="73">
        <f>VLOOKUP(B31,HECVAT!A:E,3,FALSE)</f>
        <v>0</v>
      </c>
      <c r="J31" s="73">
        <f>IF(Table1[[#This Row],[Column7]]=Table1[[#This Row],[Column9]],1,0)</f>
        <v>0</v>
      </c>
      <c r="K31" s="73">
        <f>IF(Table1[[#This Row],[Column8]]=1,20,"")</f>
        <v>20</v>
      </c>
      <c r="L31" s="73">
        <f>IF(Table1[[#This Row],[Column8]]=1,J31*K31,"")</f>
        <v>0</v>
      </c>
      <c r="M31" s="74" t="str">
        <f>VLOOKUP($B31,'Standards Crosswalk'!$A:$H,3,FALSE)</f>
        <v>CSC 14</v>
      </c>
      <c r="N31" s="74">
        <f>VLOOKUP($B31,'Standards Crosswalk'!$A:$H,4,FALSE)</f>
        <v>0</v>
      </c>
      <c r="O31" s="74">
        <f>VLOOKUP($B31,'Standards Crosswalk'!$A:$H,5,FALSE)</f>
        <v>6.2</v>
      </c>
      <c r="P31" s="74" t="str">
        <f>VLOOKUP($B31,'Standards Crosswalk'!$A:$H,6,FALSE)</f>
        <v>PR.AC-3, PR.MA-2</v>
      </c>
      <c r="Q31" s="74" t="str">
        <f>VLOOKUP($B31,'Standards Crosswalk'!$A:$H,7,FALSE)</f>
        <v>3.1.2</v>
      </c>
      <c r="R31" s="74" t="str">
        <f>VLOOKUP($B31,'Standards Crosswalk'!$A:$H,8,FALSE)</f>
        <v>AC-17; NIST SP 800-46</v>
      </c>
      <c r="S31" s="74" t="str">
        <f>VLOOKUP($B31,'Standards Crosswalk'!$A:$I,9,FALSE)</f>
        <v>7.x</v>
      </c>
    </row>
    <row r="32" spans="1:25" ht="86.25" thickBot="1" x14ac:dyDescent="0.25">
      <c r="A32" s="73">
        <f t="shared" si="1"/>
        <v>30</v>
      </c>
      <c r="B32" s="79" t="s">
        <v>203</v>
      </c>
      <c r="C32" s="80" t="str">
        <f>VLOOKUP(B32,HECVAT!A:E,2,FALSE)</f>
        <v>Can you provide overall system and/or application architecture diagrams including a full description of the data communications architecture for all components of the system?</v>
      </c>
      <c r="D32" s="73">
        <f>VLOOKUP(B32,HECVAT!A:E,4,FALSE)</f>
        <v>0</v>
      </c>
      <c r="E32" s="81" t="b">
        <f>IF(Table1[[#This Row],[Column11]]&gt;20,TRUE,FALSE)</f>
        <v>0</v>
      </c>
      <c r="F32" s="88" t="s">
        <v>2047</v>
      </c>
      <c r="G32" s="100" t="s">
        <v>17</v>
      </c>
      <c r="H32" s="83">
        <v>1</v>
      </c>
      <c r="I32" s="73">
        <f>VLOOKUP(B32,HECVAT!A:E,3,FALSE)</f>
        <v>0</v>
      </c>
      <c r="J32" s="73">
        <f>IF(Table1[[#This Row],[Column7]]=Table1[[#This Row],[Column9]],1,0)</f>
        <v>0</v>
      </c>
      <c r="K32" s="73">
        <f>IF(Table1[[#This Row],[Column8]]=1,20,"")</f>
        <v>20</v>
      </c>
      <c r="L32" s="73">
        <f>IF(Table1[[#This Row],[Column8]]=1,J32*K32,"")</f>
        <v>0</v>
      </c>
      <c r="M32" s="74" t="str">
        <f>VLOOKUP($B32,'Standards Crosswalk'!$A:$H,3,FALSE)</f>
        <v>CSC16</v>
      </c>
      <c r="N32" s="74">
        <f>VLOOKUP($B32,'Standards Crosswalk'!$A:$H,4,FALSE)</f>
        <v>0</v>
      </c>
      <c r="O32" s="74" t="str">
        <f>VLOOKUP($B32,'Standards Crosswalk'!$A:$H,5,FALSE)</f>
        <v>9.1.1</v>
      </c>
      <c r="P32" s="74" t="str">
        <f>VLOOKUP($B32,'Standards Crosswalk'!$A:$H,6,FALSE)</f>
        <v>PR.AC-4, PR.PT-3</v>
      </c>
      <c r="Q32" s="74" t="str">
        <f>VLOOKUP($B32,'Standards Crosswalk'!$A:$H,7,FALSE)</f>
        <v>3.4.9</v>
      </c>
      <c r="R32" s="74" t="str">
        <f>VLOOKUP($B32,'Standards Crosswalk'!$A:$H,8,FALSE)</f>
        <v>CM-11</v>
      </c>
      <c r="S32" s="74" t="str">
        <f>VLOOKUP($B32,'Standards Crosswalk'!$A:$I,9,FALSE)</f>
        <v>7.x</v>
      </c>
    </row>
    <row r="33" spans="1:19" ht="43.5" thickBot="1" x14ac:dyDescent="0.25">
      <c r="A33" s="73">
        <f t="shared" si="1"/>
        <v>31</v>
      </c>
      <c r="B33" s="79" t="s">
        <v>204</v>
      </c>
      <c r="C33" s="80" t="str">
        <f>VLOOKUP(B33,HECVAT!A:E,2,FALSE)</f>
        <v xml:space="preserve">Does the system provide data input validation and error messages? </v>
      </c>
      <c r="D33" s="73">
        <f>VLOOKUP(B33,HECVAT!A:E,4,FALSE)</f>
        <v>0</v>
      </c>
      <c r="E33" s="81" t="b">
        <f>IF(Table1[[#This Row],[Column11]]&gt;20,TRUE,FALSE)</f>
        <v>0</v>
      </c>
      <c r="F33" s="88" t="s">
        <v>2047</v>
      </c>
      <c r="G33" s="100" t="s">
        <v>17</v>
      </c>
      <c r="H33" s="83">
        <v>1</v>
      </c>
      <c r="I33" s="73">
        <f>VLOOKUP(B33,HECVAT!A:E,3,FALSE)</f>
        <v>0</v>
      </c>
      <c r="J33" s="73">
        <f>IF(Table1[[#This Row],[Column7]]=Table1[[#This Row],[Column9]],1,0)</f>
        <v>0</v>
      </c>
      <c r="K33" s="73">
        <f>IF(Table1[[#This Row],[Column8]]=1,20,"")</f>
        <v>20</v>
      </c>
      <c r="L33" s="73">
        <f>IF(Table1[[#This Row],[Column8]]=1,J33*K33,"")</f>
        <v>0</v>
      </c>
      <c r="M33" s="74" t="str">
        <f>VLOOKUP($B33,'Standards Crosswalk'!$A:$H,3,FALSE)</f>
        <v>CSC 18</v>
      </c>
      <c r="N33" s="74">
        <f>VLOOKUP($B33,'Standards Crosswalk'!$A:$H,4,FALSE)</f>
        <v>0</v>
      </c>
      <c r="O33" s="74">
        <f>VLOOKUP($B33,'Standards Crosswalk'!$A:$H,5,FALSE)</f>
        <v>0</v>
      </c>
      <c r="P33" s="74" t="str">
        <f>VLOOKUP($B33,'Standards Crosswalk'!$A:$H,6,FALSE)</f>
        <v>ID.AM-5</v>
      </c>
      <c r="Q33" s="74">
        <f>VLOOKUP($B33,'Standards Crosswalk'!$A:$H,7,FALSE)</f>
        <v>0</v>
      </c>
      <c r="R33" s="74">
        <f>VLOOKUP($B33,'Standards Crosswalk'!$A:$H,8,FALSE)</f>
        <v>0</v>
      </c>
      <c r="S33" s="74">
        <f>VLOOKUP($B33,'Standards Crosswalk'!$A:$I,9,FALSE)</f>
        <v>0</v>
      </c>
    </row>
    <row r="34" spans="1:19" ht="100.5" thickBot="1" x14ac:dyDescent="0.25">
      <c r="A34" s="73">
        <f t="shared" si="1"/>
        <v>32</v>
      </c>
      <c r="B34" s="79" t="s">
        <v>205</v>
      </c>
      <c r="C34" s="80" t="str">
        <f>VLOOKUP(B34,HECVAT!A:E,2,FALSE)</f>
        <v xml:space="preserve">Do you employ a single-tenant environment? </v>
      </c>
      <c r="D34" s="73">
        <f>VLOOKUP(B34,HECVAT!A:E,4,FALSE)</f>
        <v>0</v>
      </c>
      <c r="E34" s="81" t="b">
        <f>IF(Table1[[#This Row],[Column11]]&gt;20,TRUE,FALSE)</f>
        <v>1</v>
      </c>
      <c r="F34" s="88" t="s">
        <v>2047</v>
      </c>
      <c r="G34" s="100" t="s">
        <v>17</v>
      </c>
      <c r="H34" s="83">
        <v>1</v>
      </c>
      <c r="I34" s="73">
        <f>VLOOKUP(B34,HECVAT!A:E,3,FALSE)</f>
        <v>0</v>
      </c>
      <c r="J34" s="73">
        <f>IF(Table1[[#This Row],[Column7]]=Table1[[#This Row],[Column9]],1,0)</f>
        <v>0</v>
      </c>
      <c r="K34" s="73">
        <f>IF(Table1[[#This Row],[Column8]]=1,25,"")</f>
        <v>25</v>
      </c>
      <c r="L34" s="73">
        <f>IF(Table1[[#This Row],[Column8]]=1,J34*K34,"")</f>
        <v>0</v>
      </c>
      <c r="M34" s="74" t="str">
        <f>VLOOKUP($B34,'Standards Crosswalk'!$A:$H,3,FALSE)</f>
        <v>CSC 12</v>
      </c>
      <c r="N34" s="74">
        <f>VLOOKUP($B34,'Standards Crosswalk'!$A:$H,4,FALSE)</f>
        <v>0</v>
      </c>
      <c r="O34" s="74">
        <f>VLOOKUP($B34,'Standards Crosswalk'!$A:$H,5,FALSE)</f>
        <v>6.2</v>
      </c>
      <c r="P34" s="74" t="str">
        <f>VLOOKUP($B34,'Standards Crosswalk'!$A:$H,6,FALSE)</f>
        <v>PR.PT-3</v>
      </c>
      <c r="Q34" s="74" t="str">
        <f>VLOOKUP($B34,'Standards Crosswalk'!$A:$H,7,FALSE)</f>
        <v>3.1.12, 3.1.13, 3.1.14, 3.1.14, 3.1.15, 3.1.8, 3.1.20, 3.7.5, 3.8.2, 3.13.7</v>
      </c>
      <c r="R34" s="74" t="str">
        <f>VLOOKUP($B34,'Standards Crosswalk'!$A:$H,8,FALSE)</f>
        <v>AC-3, CM-7; NIST SP 800-46</v>
      </c>
      <c r="S34" s="74">
        <f>VLOOKUP($B34,'Standards Crosswalk'!$A:$I,9,FALSE)</f>
        <v>0</v>
      </c>
    </row>
    <row r="35" spans="1:19" ht="57.75" thickBot="1" x14ac:dyDescent="0.25">
      <c r="A35" s="73">
        <f t="shared" si="1"/>
        <v>33</v>
      </c>
      <c r="B35" s="79" t="s">
        <v>206</v>
      </c>
      <c r="C35" s="80" t="str">
        <f>VLOOKUP(B35,HECVAT!A:E,2,FALSE)</f>
        <v>What operating system(s) is/are leveraged by the system(s)/application(s) that will have access to institution's data?</v>
      </c>
      <c r="D35" s="73">
        <f>VLOOKUP(B35,HECVAT!A:E,4,FALSE)</f>
        <v>0</v>
      </c>
      <c r="E35" s="81" t="b">
        <f>IF(Table1[[#This Row],[Column11]]&gt;20,TRUE,FALSE)</f>
        <v>0</v>
      </c>
      <c r="F35" s="88" t="s">
        <v>2047</v>
      </c>
      <c r="G35" s="82"/>
      <c r="H35" s="83">
        <v>1</v>
      </c>
      <c r="I35" s="73">
        <f>VLOOKUP(B35,HECVAT!A:E,3,FALSE)</f>
        <v>0</v>
      </c>
      <c r="J35" s="73">
        <f>IF(VLOOKUP(Table1[[#This Row],[Column2]],'Analyst Report'!$A$41:$G$88,7,FALSE)="Yes",1,0)</f>
        <v>0</v>
      </c>
      <c r="K35" s="73">
        <f>IF(Table1[[#This Row],[Column8]]=1,20,"")</f>
        <v>20</v>
      </c>
      <c r="L35" s="73">
        <f>IF(Table1[[#This Row],[Column8]]=1,J35*K35,"")</f>
        <v>0</v>
      </c>
      <c r="M35" s="74" t="str">
        <f>VLOOKUP($B35,'Standards Crosswalk'!$A:$H,3,FALSE)</f>
        <v>CSC 2</v>
      </c>
      <c r="N35" s="74">
        <f>VLOOKUP($B35,'Standards Crosswalk'!$A:$H,4,FALSE)</f>
        <v>0</v>
      </c>
      <c r="O35" s="74" t="str">
        <f>VLOOKUP($B35,'Standards Crosswalk'!$A:$H,5,FALSE)</f>
        <v>12.5.1</v>
      </c>
      <c r="P35" s="74" t="str">
        <f>VLOOKUP($B35,'Standards Crosswalk'!$A:$H,6,FALSE)</f>
        <v>PR.PT-3</v>
      </c>
      <c r="Q35" s="74">
        <f>VLOOKUP($B35,'Standards Crosswalk'!$A:$H,7,FALSE)</f>
        <v>0</v>
      </c>
      <c r="R35" s="74" t="str">
        <f>VLOOKUP($B35,'Standards Crosswalk'!$A:$H,8,FALSE)</f>
        <v>AC-17; NIST SP 800-46</v>
      </c>
      <c r="S35" s="74">
        <f>VLOOKUP($B35,'Standards Crosswalk'!$A:$I,9,FALSE)</f>
        <v>0</v>
      </c>
    </row>
    <row r="36" spans="1:19" ht="57.75" thickBot="1" x14ac:dyDescent="0.25">
      <c r="A36" s="73">
        <f t="shared" si="1"/>
        <v>34</v>
      </c>
      <c r="B36" s="79" t="s">
        <v>207</v>
      </c>
      <c r="C36" s="80" t="str">
        <f>VLOOKUP(B36,HECVAT!A:E,2,FALSE)</f>
        <v>Have you or any third party you contract with that may have access or allow access to the institution's data experienced a breach?</v>
      </c>
      <c r="D36" s="73">
        <f>VLOOKUP(B36,HECVAT!A:E,4,FALSE)</f>
        <v>0</v>
      </c>
      <c r="E36" s="81" t="b">
        <f>IF(Table1[[#This Row],[Column11]]&gt;20,TRUE,FALSE)</f>
        <v>1</v>
      </c>
      <c r="F36" s="88" t="s">
        <v>2047</v>
      </c>
      <c r="G36" s="82" t="s">
        <v>21</v>
      </c>
      <c r="H36" s="83">
        <v>1</v>
      </c>
      <c r="I36" s="73">
        <f>VLOOKUP(B36,HECVAT!A:E,3,FALSE)</f>
        <v>0</v>
      </c>
      <c r="J36" s="73">
        <f>IF(Table1[[#This Row],[Column7]]=Table1[[#This Row],[Column9]],1,0)</f>
        <v>0</v>
      </c>
      <c r="K36" s="73">
        <f>IF(Table1[[#This Row],[Column8]]=1,25,"")</f>
        <v>25</v>
      </c>
      <c r="L36" s="73">
        <f>IF(Table1[[#This Row],[Column8]]=1,J36*K36,"")</f>
        <v>0</v>
      </c>
      <c r="M36" s="74">
        <f>VLOOKUP($B36,'Standards Crosswalk'!$A:$H,3,FALSE)</f>
        <v>0</v>
      </c>
      <c r="N36" s="74">
        <f>VLOOKUP($B36,'Standards Crosswalk'!$A:$H,4,FALSE)</f>
        <v>0</v>
      </c>
      <c r="O36" s="74">
        <f>VLOOKUP($B36,'Standards Crosswalk'!$A:$H,5,FALSE)</f>
        <v>16</v>
      </c>
      <c r="P36" s="74">
        <f>VLOOKUP($B36,'Standards Crosswalk'!$A:$H,6,FALSE)</f>
        <v>0</v>
      </c>
      <c r="Q36" s="74">
        <f>VLOOKUP($B36,'Standards Crosswalk'!$A:$H,7,FALSE)</f>
        <v>0</v>
      </c>
      <c r="R36" s="74">
        <f>VLOOKUP($B36,'Standards Crosswalk'!$A:$H,8,FALSE)</f>
        <v>0</v>
      </c>
      <c r="S36" s="74" t="str">
        <f>VLOOKUP($B36,'Standards Crosswalk'!$A:$I,9,FALSE)</f>
        <v>12.8, 4.2</v>
      </c>
    </row>
    <row r="37" spans="1:19" ht="72" thickBot="1" x14ac:dyDescent="0.25">
      <c r="A37" s="73">
        <f t="shared" si="1"/>
        <v>35</v>
      </c>
      <c r="B37" s="79" t="s">
        <v>208</v>
      </c>
      <c r="C37" s="80" t="str">
        <f>VLOOKUP(B37,HECVAT!A:E,2,FALSE)</f>
        <v xml:space="preserve">Describe or provide a reference to additional software/products necessary to implement a functional system on either the backend or user-interface side of the system. </v>
      </c>
      <c r="D37" s="73">
        <f>VLOOKUP(B37,HECVAT!A:E,4,FALSE)</f>
        <v>0</v>
      </c>
      <c r="E37" s="81" t="b">
        <f>IF(Table1[[#This Row],[Column11]]&gt;20,TRUE,FALSE)</f>
        <v>0</v>
      </c>
      <c r="F37" s="88" t="s">
        <v>2047</v>
      </c>
      <c r="G37" s="82"/>
      <c r="H37" s="83">
        <v>1</v>
      </c>
      <c r="I37" s="73">
        <f>VLOOKUP(B37,HECVAT!A:E,3,FALSE)</f>
        <v>0</v>
      </c>
      <c r="J37" s="73">
        <f>IF(VLOOKUP(Table1[[#This Row],[Column2]],'Analyst Report'!$A$41:$G$88,7,FALSE)="Yes",1,0)</f>
        <v>0</v>
      </c>
      <c r="K37" s="73">
        <f>IF(Table1[[#This Row],[Column8]]=1,15,"")</f>
        <v>15</v>
      </c>
      <c r="L37" s="73">
        <f>IF(Table1[[#This Row],[Column8]]=1,J37*K37,"")</f>
        <v>0</v>
      </c>
      <c r="M37" s="74" t="str">
        <f>VLOOKUP($B37,'Standards Crosswalk'!$A:$H,3,FALSE)</f>
        <v>CSC 2</v>
      </c>
      <c r="N37" s="74">
        <f>VLOOKUP($B37,'Standards Crosswalk'!$A:$H,4,FALSE)</f>
        <v>0</v>
      </c>
      <c r="O37" s="74" t="str">
        <f>VLOOKUP($B37,'Standards Crosswalk'!$A:$H,5,FALSE)</f>
        <v>12.5.1</v>
      </c>
      <c r="P37" s="74" t="str">
        <f>VLOOKUP($B37,'Standards Crosswalk'!$A:$H,6,FALSE)</f>
        <v>ID.AM-2</v>
      </c>
      <c r="Q37" s="74">
        <f>VLOOKUP($B37,'Standards Crosswalk'!$A:$H,7,FALSE)</f>
        <v>0</v>
      </c>
      <c r="R37" s="74">
        <f>VLOOKUP($B37,'Standards Crosswalk'!$A:$H,8,FALSE)</f>
        <v>0</v>
      </c>
      <c r="S37" s="74">
        <f>VLOOKUP($B37,'Standards Crosswalk'!$A:$I,9,FALSE)</f>
        <v>0</v>
      </c>
    </row>
    <row r="38" spans="1:19" ht="100.5" thickBot="1" x14ac:dyDescent="0.25">
      <c r="A38" s="73">
        <f t="shared" si="1"/>
        <v>36</v>
      </c>
      <c r="B38" s="79" t="s">
        <v>209</v>
      </c>
      <c r="C38" s="80" t="str">
        <f>VLOOKUP(B38,HECVAT!A:E,2,FALSE)</f>
        <v xml:space="preserve">Describe or provide a reference to the overall system and/or application architecture(s), including appropriate diagrams. Include a full description of the data communications architecture for all components of the system. </v>
      </c>
      <c r="D38" s="73">
        <f>VLOOKUP(B38,HECVAT!A:E,4,FALSE)</f>
        <v>0</v>
      </c>
      <c r="E38" s="81" t="b">
        <f>IF(Table1[[#This Row],[Column11]]&gt;20,TRUE,FALSE)</f>
        <v>1</v>
      </c>
      <c r="F38" s="88" t="s">
        <v>2047</v>
      </c>
      <c r="G38" s="82"/>
      <c r="H38" s="83">
        <v>1</v>
      </c>
      <c r="I38" s="73">
        <f>VLOOKUP(B38,HECVAT!A:E,3,FALSE)</f>
        <v>0</v>
      </c>
      <c r="J38" s="73">
        <f>IF(VLOOKUP(Table1[[#This Row],[Column2]],'Analyst Report'!$A$41:$G$88,7,FALSE)="Yes",1,0)</f>
        <v>0</v>
      </c>
      <c r="K38" s="73">
        <f>IF(Table1[[#This Row],[Column8]]=1,25,"")</f>
        <v>25</v>
      </c>
      <c r="L38" s="73">
        <f>IF(Table1[[#This Row],[Column8]]=1,J38*K38,"")</f>
        <v>0</v>
      </c>
      <c r="M38" s="74" t="str">
        <f>VLOOKUP($B38,'Standards Crosswalk'!$A:$H,3,FALSE)</f>
        <v>CSC 2</v>
      </c>
      <c r="N38" s="74">
        <f>VLOOKUP($B38,'Standards Crosswalk'!$A:$H,4,FALSE)</f>
        <v>0</v>
      </c>
      <c r="O38" s="74" t="str">
        <f>VLOOKUP($B38,'Standards Crosswalk'!$A:$H,5,FALSE)</f>
        <v>12.1.1</v>
      </c>
      <c r="P38" s="74" t="str">
        <f>VLOOKUP($B38,'Standards Crosswalk'!$A:$H,6,FALSE)</f>
        <v>ID.AM-1, ID.AM-2, ID.AM-4</v>
      </c>
      <c r="Q38" s="74">
        <f>VLOOKUP($B38,'Standards Crosswalk'!$A:$H,7,FALSE)</f>
        <v>0</v>
      </c>
      <c r="R38" s="74" t="str">
        <f>VLOOKUP($B38,'Standards Crosswalk'!$A:$H,8,FALSE)</f>
        <v>CA-9, SC-4</v>
      </c>
      <c r="S38" s="74">
        <f>VLOOKUP($B38,'Standards Crosswalk'!$A:$I,9,FALSE)</f>
        <v>2.4</v>
      </c>
    </row>
    <row r="39" spans="1:19" ht="57.75" thickBot="1" x14ac:dyDescent="0.25">
      <c r="A39" s="73">
        <f t="shared" si="1"/>
        <v>37</v>
      </c>
      <c r="B39" s="79" t="s">
        <v>210</v>
      </c>
      <c r="C39" s="80" t="str">
        <f>VLOOKUP(B39,HECVAT!A:E,2,FALSE)</f>
        <v>Are databases used in the system segregated from front-end systems? (e.g. web and application servers)</v>
      </c>
      <c r="D39" s="73">
        <f>VLOOKUP(B39,HECVAT!A:E,4,FALSE)</f>
        <v>0</v>
      </c>
      <c r="E39" s="81" t="b">
        <f>IF(Table1[[#This Row],[Column11]]&gt;20,TRUE,FALSE)</f>
        <v>1</v>
      </c>
      <c r="F39" s="88" t="s">
        <v>2047</v>
      </c>
      <c r="G39" s="100" t="s">
        <v>17</v>
      </c>
      <c r="H39" s="83">
        <v>1</v>
      </c>
      <c r="I39" s="73">
        <f>VLOOKUP(B39,HECVAT!A:E,3,FALSE)</f>
        <v>0</v>
      </c>
      <c r="J39" s="73">
        <f>IF(Table1[[#This Row],[Column7]]=Table1[[#This Row],[Column9]],1,0)</f>
        <v>0</v>
      </c>
      <c r="K39" s="73">
        <f>IF(Table1[[#This Row],[Column8]]=1,40,"")</f>
        <v>40</v>
      </c>
      <c r="L39" s="73">
        <f>IF(Table1[[#This Row],[Column8]]=1,J39*K39,"")</f>
        <v>0</v>
      </c>
      <c r="M39" s="74" t="str">
        <f>VLOOKUP($B39,'Standards Crosswalk'!$A:$H,3,FALSE)</f>
        <v>CSC 13</v>
      </c>
      <c r="N39" s="74">
        <f>VLOOKUP($B39,'Standards Crosswalk'!$A:$H,4,FALSE)</f>
        <v>0</v>
      </c>
      <c r="O39" s="74" t="str">
        <f>VLOOKUP($B39,'Standards Crosswalk'!$A:$H,5,FALSE)</f>
        <v>12.1.4</v>
      </c>
      <c r="P39" s="74">
        <f>VLOOKUP($B39,'Standards Crosswalk'!$A:$H,6,FALSE)</f>
        <v>0</v>
      </c>
      <c r="Q39" s="74">
        <f>VLOOKUP($B39,'Standards Crosswalk'!$A:$H,7,FALSE)</f>
        <v>0</v>
      </c>
      <c r="R39" s="74">
        <f>VLOOKUP($B39,'Standards Crosswalk'!$A:$H,8,FALSE)</f>
        <v>0</v>
      </c>
      <c r="S39" s="74">
        <f>VLOOKUP($B39,'Standards Crosswalk'!$A:$I,9,FALSE)</f>
        <v>0</v>
      </c>
    </row>
    <row r="40" spans="1:19" ht="72" thickBot="1" x14ac:dyDescent="0.25">
      <c r="A40" s="73">
        <f t="shared" si="1"/>
        <v>38</v>
      </c>
      <c r="B40" s="97" t="s">
        <v>211</v>
      </c>
      <c r="C40" s="80" t="str">
        <f>VLOOKUP(B40,HECVAT!A:E,2,FALSE)</f>
        <v xml:space="preserve">Describe or provide a reference to all web-enabled features and functionality of the system (i.e. accessed via a web-based interface). </v>
      </c>
      <c r="D40" s="73">
        <f>VLOOKUP(B40,HECVAT!A:E,4,FALSE)</f>
        <v>0</v>
      </c>
      <c r="E40" s="81" t="b">
        <f>IF(Table1[[#This Row],[Column11]]&gt;20,TRUE,FALSE)</f>
        <v>0</v>
      </c>
      <c r="F40" s="88" t="s">
        <v>2047</v>
      </c>
      <c r="G40" s="82" t="s">
        <v>21</v>
      </c>
      <c r="H40" s="83">
        <v>1</v>
      </c>
      <c r="I40" s="73">
        <f>VLOOKUP(B40,HECVAT!A:E,3,FALSE)</f>
        <v>0</v>
      </c>
      <c r="J40" s="73">
        <f>IF(VLOOKUP(Table1[[#This Row],[Column2]],'Analyst Report'!$A$41:$G$88,7,FALSE)="Yes",1,0)</f>
        <v>0</v>
      </c>
      <c r="K40" s="73">
        <f>IF(Table1[[#This Row],[Column8]]=1,10,"")</f>
        <v>10</v>
      </c>
      <c r="L40" s="73">
        <f>IF(Table1[[#This Row],[Column8]]=1,J40*K40,"")</f>
        <v>0</v>
      </c>
      <c r="M40" s="74" t="str">
        <f>VLOOKUP($B40,'Standards Crosswalk'!$A:$H,3,FALSE)</f>
        <v>CSC 7</v>
      </c>
      <c r="N40" s="74">
        <f>VLOOKUP($B40,'Standards Crosswalk'!$A:$H,4,FALSE)</f>
        <v>0</v>
      </c>
      <c r="O40" s="74" t="str">
        <f>VLOOKUP($B40,'Standards Crosswalk'!$A:$H,5,FALSE)</f>
        <v>12.1.1</v>
      </c>
      <c r="P40" s="74">
        <f>VLOOKUP($B40,'Standards Crosswalk'!$A:$H,6,FALSE)</f>
        <v>0</v>
      </c>
      <c r="Q40" s="74">
        <f>VLOOKUP($B40,'Standards Crosswalk'!$A:$H,7,FALSE)</f>
        <v>0</v>
      </c>
      <c r="R40" s="74">
        <f>VLOOKUP($B40,'Standards Crosswalk'!$A:$H,8,FALSE)</f>
        <v>0</v>
      </c>
      <c r="S40" s="74">
        <f>VLOOKUP($B40,'Standards Crosswalk'!$A:$I,9,FALSE)</f>
        <v>0</v>
      </c>
    </row>
    <row r="41" spans="1:19" ht="43.5" thickBot="1" x14ac:dyDescent="0.25">
      <c r="A41" s="73">
        <f t="shared" si="1"/>
        <v>39</v>
      </c>
      <c r="B41" s="79" t="s">
        <v>212</v>
      </c>
      <c r="C41" s="80" t="str">
        <f>VLOOKUP(B41,HECVAT!A:E,2,FALSE)</f>
        <v>Are there any OS and/or web-browser combinations that are not currently supported?</v>
      </c>
      <c r="D41" s="73">
        <f>VLOOKUP(B41,HECVAT!A:E,4,FALSE)</f>
        <v>0</v>
      </c>
      <c r="E41" s="81" t="b">
        <f>IF(Table1[[#This Row],[Column11]]&gt;20,TRUE,FALSE)</f>
        <v>0</v>
      </c>
      <c r="F41" s="88" t="s">
        <v>2047</v>
      </c>
      <c r="G41" s="82" t="s">
        <v>21</v>
      </c>
      <c r="H41" s="83">
        <v>1</v>
      </c>
      <c r="I41" s="73">
        <f>VLOOKUP(B41,HECVAT!A:E,3,FALSE)</f>
        <v>0</v>
      </c>
      <c r="J41" s="73">
        <f>IF(VLOOKUP(Table1[[#This Row],[Column2]],'Analyst Report'!$A$41:$G$88,7,FALSE)="Yes",1,0)</f>
        <v>0</v>
      </c>
      <c r="K41" s="73">
        <f>IF(Table1[[#This Row],[Column8]]=1,15,"")</f>
        <v>15</v>
      </c>
      <c r="L41" s="73">
        <f>IF(Table1[[#This Row],[Column8]]=1,J41*K41,"")</f>
        <v>0</v>
      </c>
      <c r="M41" s="74" t="str">
        <f>VLOOKUP($B41,'Standards Crosswalk'!$A:$H,3,FALSE)</f>
        <v>CSC 7</v>
      </c>
      <c r="N41" s="74">
        <f>VLOOKUP($B41,'Standards Crosswalk'!$A:$H,4,FALSE)</f>
        <v>0</v>
      </c>
      <c r="O41" s="74" t="str">
        <f>VLOOKUP($B41,'Standards Crosswalk'!$A:$H,5,FALSE)</f>
        <v>12.5.1</v>
      </c>
      <c r="P41" s="74">
        <f>VLOOKUP($B41,'Standards Crosswalk'!$A:$H,6,FALSE)</f>
        <v>0</v>
      </c>
      <c r="Q41" s="74">
        <f>VLOOKUP($B41,'Standards Crosswalk'!$A:$H,7,FALSE)</f>
        <v>0</v>
      </c>
      <c r="R41" s="74">
        <f>VLOOKUP($B41,'Standards Crosswalk'!$A:$H,8,FALSE)</f>
        <v>0</v>
      </c>
      <c r="S41" s="74">
        <f>VLOOKUP($B41,'Standards Crosswalk'!$A:$I,9,FALSE)</f>
        <v>0</v>
      </c>
    </row>
    <row r="42" spans="1:19" ht="43.5" thickBot="1" x14ac:dyDescent="0.25">
      <c r="A42" s="73">
        <f t="shared" si="1"/>
        <v>40</v>
      </c>
      <c r="B42" s="79" t="s">
        <v>213</v>
      </c>
      <c r="C42" s="80" t="str">
        <f>VLOOKUP(B42,HECVAT!A:E,2,FALSE)</f>
        <v xml:space="preserve">Can your system take advantage of mobile and/or GPS enabled mobile devices?  </v>
      </c>
      <c r="D42" s="73">
        <f>VLOOKUP(B42,HECVAT!A:E,4,FALSE)</f>
        <v>0</v>
      </c>
      <c r="E42" s="81" t="b">
        <f>IF(Table1[[#This Row],[Column11]]&gt;20,TRUE,FALSE)</f>
        <v>1</v>
      </c>
      <c r="F42" s="88" t="s">
        <v>2047</v>
      </c>
      <c r="G42" s="82" t="s">
        <v>17</v>
      </c>
      <c r="H42" s="83">
        <v>1</v>
      </c>
      <c r="I42" s="73">
        <f>VLOOKUP(B42,HECVAT!A:E,3,FALSE)</f>
        <v>0</v>
      </c>
      <c r="J42" s="73">
        <f>IF(Table1[[#This Row],[Column7]]=Table1[[#This Row],[Column9]],1,0)</f>
        <v>0</v>
      </c>
      <c r="K42" s="73">
        <f>IF(Table1[[#This Row],[Column8]]=1,25,"")</f>
        <v>25</v>
      </c>
      <c r="L42" s="73">
        <f>IF(Table1[[#This Row],[Column8]]=1,J42*K42,"")</f>
        <v>0</v>
      </c>
      <c r="M42" s="74" t="str">
        <f>VLOOKUP($B42,'Standards Crosswalk'!$A:$H,3,FALSE)</f>
        <v>CSC 2</v>
      </c>
      <c r="N42" s="74">
        <f>VLOOKUP($B42,'Standards Crosswalk'!$A:$H,4,FALSE)</f>
        <v>0</v>
      </c>
      <c r="O42" s="74">
        <f>VLOOKUP($B42,'Standards Crosswalk'!$A:$H,5,FALSE)</f>
        <v>0</v>
      </c>
      <c r="P42" s="74">
        <f>VLOOKUP($B42,'Standards Crosswalk'!$A:$H,6,FALSE)</f>
        <v>0</v>
      </c>
      <c r="Q42" s="74">
        <f>VLOOKUP($B42,'Standards Crosswalk'!$A:$H,7,FALSE)</f>
        <v>0</v>
      </c>
      <c r="R42" s="74">
        <f>VLOOKUP($B42,'Standards Crosswalk'!$A:$H,8,FALSE)</f>
        <v>0</v>
      </c>
      <c r="S42" s="74">
        <f>VLOOKUP($B42,'Standards Crosswalk'!$A:$I,9,FALSE)</f>
        <v>0</v>
      </c>
    </row>
    <row r="43" spans="1:19" ht="72" thickBot="1" x14ac:dyDescent="0.25">
      <c r="A43" s="73">
        <f t="shared" si="1"/>
        <v>41</v>
      </c>
      <c r="B43" s="79" t="s">
        <v>554</v>
      </c>
      <c r="C43" s="80" t="str">
        <f>VLOOKUP(B43,HECVAT!A:E,2,FALSE)</f>
        <v>Describe or provide a reference to the facilities available in the system to provide separation of duties between security administration and system administration functions.</v>
      </c>
      <c r="D43" s="73">
        <f>VLOOKUP(B43,HECVAT!A:E,4,FALSE)</f>
        <v>0</v>
      </c>
      <c r="E43" s="81" t="b">
        <f>IF(Table1[[#This Row],[Column11]]&gt;20,TRUE,FALSE)</f>
        <v>1</v>
      </c>
      <c r="F43" s="88" t="s">
        <v>2047</v>
      </c>
      <c r="G43" s="82" t="s">
        <v>17</v>
      </c>
      <c r="H43" s="83">
        <v>1</v>
      </c>
      <c r="I43" s="73">
        <f>VLOOKUP(B43,HECVAT!A:E,3,FALSE)</f>
        <v>0</v>
      </c>
      <c r="J43" s="73">
        <f>IF(VLOOKUP(Table1[[#This Row],[Column2]],'Analyst Report'!$A$41:$G$88,7,FALSE)="Yes",1,0)</f>
        <v>0</v>
      </c>
      <c r="K43" s="73">
        <f>IF(Table1[[#This Row],[Column8]]=1,25,"")</f>
        <v>25</v>
      </c>
      <c r="L43" s="73">
        <f>IF(Table1[[#This Row],[Column8]]=1,J43*K43,"")</f>
        <v>0</v>
      </c>
      <c r="M43" s="74" t="str">
        <f>VLOOKUP($B43,'Standards Crosswalk'!$A:$H,3,FALSE)</f>
        <v>CSC 14</v>
      </c>
      <c r="N43" s="74">
        <f>VLOOKUP($B43,'Standards Crosswalk'!$A:$H,4,FALSE)</f>
        <v>0</v>
      </c>
      <c r="O43" s="74" t="str">
        <f>VLOOKUP($B43,'Standards Crosswalk'!$A:$H,5,FALSE)</f>
        <v>9.2.3, 12.1.4</v>
      </c>
      <c r="P43" s="74" t="str">
        <f>VLOOKUP($B43,'Standards Crosswalk'!$A:$H,6,FALSE)</f>
        <v>PR.AC-4, PR.PT-3</v>
      </c>
      <c r="Q43" s="74" t="str">
        <f>VLOOKUP($B43,'Standards Crosswalk'!$A:$H,7,FALSE)</f>
        <v>3.1.4</v>
      </c>
      <c r="R43" s="74" t="str">
        <f>VLOOKUP($B43,'Standards Crosswalk'!$A:$H,8,FALSE)</f>
        <v>AC-5</v>
      </c>
      <c r="S43" s="74" t="str">
        <f>VLOOKUP($B43,'Standards Crosswalk'!$A:$I,9,FALSE)</f>
        <v>12.x</v>
      </c>
    </row>
    <row r="44" spans="1:19" ht="72" thickBot="1" x14ac:dyDescent="0.25">
      <c r="A44" s="73">
        <f t="shared" si="1"/>
        <v>42</v>
      </c>
      <c r="B44" s="79" t="s">
        <v>214</v>
      </c>
      <c r="C44" s="80" t="str">
        <f>VLOOKUP(B44,HECVAT!A:E,2,FALSE)</f>
        <v>Describe or provide a reference that details how administrator access is handled (e.g. provisioning, principle of least privilege, deprovisioning, etc.)</v>
      </c>
      <c r="D44" s="73">
        <f>VLOOKUP(B44,HECVAT!A:E,4,FALSE)</f>
        <v>0</v>
      </c>
      <c r="E44" s="81" t="b">
        <f>IF(Table1[[#This Row],[Column11]]&gt;20,TRUE,FALSE)</f>
        <v>1</v>
      </c>
      <c r="F44" s="88" t="s">
        <v>2047</v>
      </c>
      <c r="G44" s="82" t="s">
        <v>17</v>
      </c>
      <c r="H44" s="83">
        <v>1</v>
      </c>
      <c r="I44" s="73">
        <f>VLOOKUP(B44,HECVAT!A:E,3,FALSE)</f>
        <v>0</v>
      </c>
      <c r="J44" s="73">
        <f>IF(VLOOKUP(Table1[[#This Row],[Column2]],'Analyst Report'!$A$41:$G$88,7,FALSE)="Yes",1,0)</f>
        <v>0</v>
      </c>
      <c r="K44" s="73">
        <f>IF(Table1[[#This Row],[Column8]]=1,25,"")</f>
        <v>25</v>
      </c>
      <c r="L44" s="73">
        <f>IF(Table1[[#This Row],[Column8]]=1,J44*K44,"")</f>
        <v>0</v>
      </c>
      <c r="M44" s="74" t="str">
        <f>VLOOKUP($B44,'Standards Crosswalk'!$A:$H,3,FALSE)</f>
        <v>CSC 5</v>
      </c>
      <c r="N44" s="74">
        <f>VLOOKUP($B44,'Standards Crosswalk'!$A:$H,4,FALSE)</f>
        <v>0</v>
      </c>
      <c r="O44" s="74">
        <f>VLOOKUP($B44,'Standards Crosswalk'!$A:$H,5,FALSE)</f>
        <v>9.1999999999999993</v>
      </c>
      <c r="P44" s="74" t="str">
        <f>VLOOKUP($B44,'Standards Crosswalk'!$A:$H,6,FALSE)</f>
        <v>PR.AC-4, PR.PT-3</v>
      </c>
      <c r="Q44" s="74" t="str">
        <f>VLOOKUP($B44,'Standards Crosswalk'!$A:$H,7,FALSE)</f>
        <v>3.1.1, 3.1.5, 3.1.6, 3.7.1, 3.7.2</v>
      </c>
      <c r="R44" s="74" t="str">
        <f>VLOOKUP($B44,'Standards Crosswalk'!$A:$H,8,FALSE)</f>
        <v>AC-2, AC-3, AC-6, MA-2, MA-3</v>
      </c>
      <c r="S44" s="74" t="str">
        <f>VLOOKUP($B44,'Standards Crosswalk'!$A:$I,9,FALSE)</f>
        <v>7.x, 8.x</v>
      </c>
    </row>
    <row r="45" spans="1:19" ht="43.5" thickBot="1" x14ac:dyDescent="0.25">
      <c r="A45" s="73">
        <f t="shared" si="1"/>
        <v>43</v>
      </c>
      <c r="B45" s="79" t="s">
        <v>215</v>
      </c>
      <c r="C45" s="80" t="str">
        <f>VLOOKUP(B45,HECVAT!A:E,2,FALSE)</f>
        <v>Describe or provide references explaining how tertiary services are redundant (i.e. DNS, ISP, etc…).</v>
      </c>
      <c r="D45" s="73">
        <f>VLOOKUP(B45,HECVAT!A:E,4,FALSE)</f>
        <v>0</v>
      </c>
      <c r="E45" s="81" t="b">
        <f>IF(Table1[[#This Row],[Column11]]&gt;20,TRUE,FALSE)</f>
        <v>0</v>
      </c>
      <c r="F45" s="88" t="s">
        <v>2047</v>
      </c>
      <c r="G45" s="82" t="s">
        <v>17</v>
      </c>
      <c r="H45" s="83">
        <v>1</v>
      </c>
      <c r="I45" s="73">
        <f>VLOOKUP(B45,HECVAT!A:E,3,FALSE)</f>
        <v>0</v>
      </c>
      <c r="J45" s="73">
        <f>IF(VLOOKUP(Table1[[#This Row],[Column2]],'Analyst Report'!$A$41:$G$88,7,FALSE)="Yes",1,0)</f>
        <v>0</v>
      </c>
      <c r="K45" s="73">
        <f>IF(Table1[[#This Row],[Column8]]=1,15,"")</f>
        <v>15</v>
      </c>
      <c r="L45" s="73">
        <f>IF(Table1[[#This Row],[Column8]]=1,J45*K45,"")</f>
        <v>0</v>
      </c>
      <c r="M45" s="74" t="str">
        <f>VLOOKUP($B45,'Standards Crosswalk'!$A:$H,3,FALSE)</f>
        <v>CSC 14</v>
      </c>
      <c r="N45" s="74">
        <f>VLOOKUP($B45,'Standards Crosswalk'!$A:$H,4,FALSE)</f>
        <v>0</v>
      </c>
      <c r="O45" s="74" t="str">
        <f>VLOOKUP($B45,'Standards Crosswalk'!$A:$H,5,FALSE)</f>
        <v>9.1.1</v>
      </c>
      <c r="P45" s="74" t="str">
        <f>VLOOKUP($B45,'Standards Crosswalk'!$A:$H,6,FALSE)</f>
        <v>PR.AC-4</v>
      </c>
      <c r="Q45" s="74" t="str">
        <f>VLOOKUP($B45,'Standards Crosswalk'!$A:$H,7,FALSE)</f>
        <v>3.1.2</v>
      </c>
      <c r="R45" s="74">
        <f>VLOOKUP($B45,'Standards Crosswalk'!$A:$H,8,FALSE)</f>
        <v>0</v>
      </c>
      <c r="S45" s="74">
        <f>VLOOKUP($B45,'Standards Crosswalk'!$A:$I,9,FALSE)</f>
        <v>0</v>
      </c>
    </row>
    <row r="46" spans="1:19" ht="86.25" thickBot="1" x14ac:dyDescent="0.25">
      <c r="A46" s="73">
        <f t="shared" si="1"/>
        <v>44</v>
      </c>
      <c r="B46" s="79" t="s">
        <v>218</v>
      </c>
      <c r="C46" s="80" t="str">
        <f>VLOOKUP(B46,HECVAT!A:E,2,FALSE)</f>
        <v>Can you enforce password/passphrase aging requirements?</v>
      </c>
      <c r="D46" s="73">
        <f>VLOOKUP(B46,HECVAT!A:E,4,FALSE)</f>
        <v>0</v>
      </c>
      <c r="E46" s="81" t="b">
        <f>IF(Table1[[#This Row],[Column11]]&gt;20,TRUE,FALSE)</f>
        <v>1</v>
      </c>
      <c r="F46" s="81" t="s">
        <v>2048</v>
      </c>
      <c r="G46" s="82" t="s">
        <v>17</v>
      </c>
      <c r="H46" s="83">
        <v>1</v>
      </c>
      <c r="I46" s="73">
        <f>VLOOKUP(B46,HECVAT!A:E,3,FALSE)</f>
        <v>0</v>
      </c>
      <c r="J46" s="73">
        <f>IF(Table1[[#This Row],[Column7]]=Table1[[#This Row],[Column9]],1,0)</f>
        <v>0</v>
      </c>
      <c r="K46" s="73">
        <f>IF(Table1[[#This Row],[Column8]]=1,25,"")</f>
        <v>25</v>
      </c>
      <c r="L46" s="73">
        <f>IF(Table1[[#This Row],[Column8]]=1,J46*K46,"")</f>
        <v>0</v>
      </c>
      <c r="M46" s="74" t="str">
        <f>VLOOKUP($B46,'Standards Crosswalk'!$A:$H,3,FALSE)</f>
        <v>CSC 16</v>
      </c>
      <c r="N46" s="74">
        <f>VLOOKUP($B46,'Standards Crosswalk'!$A:$H,4,FALSE)</f>
        <v>0</v>
      </c>
      <c r="O46" s="74" t="str">
        <f>VLOOKUP($B46,'Standards Crosswalk'!$A:$H,5,FALSE)</f>
        <v>9.2.3, 9.3.1, 9.4.3</v>
      </c>
      <c r="P46" s="74" t="str">
        <f>VLOOKUP($B46,'Standards Crosswalk'!$A:$H,6,FALSE)</f>
        <v>PR.AC-1</v>
      </c>
      <c r="Q46" s="74" t="str">
        <f>VLOOKUP($B46,'Standards Crosswalk'!$A:$H,7,FALSE)</f>
        <v>3.5.6</v>
      </c>
      <c r="R46" s="74" t="str">
        <f>VLOOKUP($B46,'Standards Crosswalk'!$A:$H,8,FALSE)</f>
        <v>IA-4</v>
      </c>
      <c r="S46" s="74" t="str">
        <f>VLOOKUP($B46,'Standards Crosswalk'!$A:$I,9,FALSE)</f>
        <v>8.x</v>
      </c>
    </row>
    <row r="47" spans="1:19" ht="86.25" thickBot="1" x14ac:dyDescent="0.25">
      <c r="A47" s="73">
        <f t="shared" si="1"/>
        <v>45</v>
      </c>
      <c r="B47" s="79" t="s">
        <v>219</v>
      </c>
      <c r="C47" s="80" t="str">
        <f>VLOOKUP(B47,HECVAT!A:E,2,FALSE)</f>
        <v>Can you enforce password/passphrase complexity requirements [provided by the institution]?</v>
      </c>
      <c r="D47" s="73">
        <f>VLOOKUP(B47,HECVAT!A:E,4,FALSE)</f>
        <v>0</v>
      </c>
      <c r="E47" s="81" t="b">
        <f>IF(Table1[[#This Row],[Column11]]&gt;20,TRUE,FALSE)</f>
        <v>1</v>
      </c>
      <c r="F47" s="81" t="s">
        <v>2048</v>
      </c>
      <c r="G47" s="82" t="s">
        <v>17</v>
      </c>
      <c r="H47" s="83">
        <v>1</v>
      </c>
      <c r="I47" s="73">
        <f>VLOOKUP(B47,HECVAT!A:E,3,FALSE)</f>
        <v>0</v>
      </c>
      <c r="J47" s="73">
        <f>IF(Table1[[#This Row],[Column7]]=Table1[[#This Row],[Column9]],1,0)</f>
        <v>0</v>
      </c>
      <c r="K47" s="73">
        <f>IF(Table1[[#This Row],[Column8]]=1,25,"")</f>
        <v>25</v>
      </c>
      <c r="L47" s="73">
        <f>IF(Table1[[#This Row],[Column8]]=1,J47*K47,"")</f>
        <v>0</v>
      </c>
      <c r="M47" s="74" t="str">
        <f>VLOOKUP($B47,'Standards Crosswalk'!$A:$H,3,FALSE)</f>
        <v>CSC 16</v>
      </c>
      <c r="N47" s="74">
        <f>VLOOKUP($B47,'Standards Crosswalk'!$A:$H,4,FALSE)</f>
        <v>0</v>
      </c>
      <c r="O47" s="74" t="str">
        <f>VLOOKUP($B47,'Standards Crosswalk'!$A:$H,5,FALSE)</f>
        <v>9.2.3, 9.3.1, 9.4.3</v>
      </c>
      <c r="P47" s="74" t="str">
        <f>VLOOKUP($B47,'Standards Crosswalk'!$A:$H,6,FALSE)</f>
        <v>PR.AC-1</v>
      </c>
      <c r="Q47" s="74" t="str">
        <f>VLOOKUP($B47,'Standards Crosswalk'!$A:$H,7,FALSE)</f>
        <v>3.5.7</v>
      </c>
      <c r="R47" s="74" t="str">
        <f>VLOOKUP($B47,'Standards Crosswalk'!$A:$H,8,FALSE)</f>
        <v>IA-5(1)</v>
      </c>
      <c r="S47" s="74" t="str">
        <f>VLOOKUP($B47,'Standards Crosswalk'!$A:$I,9,FALSE)</f>
        <v>8.x</v>
      </c>
    </row>
    <row r="48" spans="1:19" ht="86.25" thickBot="1" x14ac:dyDescent="0.25">
      <c r="A48" s="73">
        <f t="shared" si="1"/>
        <v>46</v>
      </c>
      <c r="B48" s="79" t="s">
        <v>220</v>
      </c>
      <c r="C48" s="80" t="str">
        <f>VLOOKUP(B48,HECVAT!A:E,2,FALSE)</f>
        <v>Does the system have password complexity or length limitations and/or restrictions?</v>
      </c>
      <c r="D48" s="73">
        <f>VLOOKUP(B48,HECVAT!A:E,4,FALSE)</f>
        <v>0</v>
      </c>
      <c r="E48" s="81" t="b">
        <f>IF(Table1[[#This Row],[Column11]]&gt;20,TRUE,FALSE)</f>
        <v>1</v>
      </c>
      <c r="F48" s="81" t="s">
        <v>2048</v>
      </c>
      <c r="G48" s="82" t="s">
        <v>17</v>
      </c>
      <c r="H48" s="83">
        <v>1</v>
      </c>
      <c r="I48" s="73">
        <f>VLOOKUP(B48,HECVAT!A:E,3,FALSE)</f>
        <v>0</v>
      </c>
      <c r="J48" s="73">
        <f>IF(Table1[[#This Row],[Column7]]=Table1[[#This Row],[Column9]],1,0)</f>
        <v>0</v>
      </c>
      <c r="K48" s="73">
        <f>IF(Table1[[#This Row],[Column8]]=1,25,"")</f>
        <v>25</v>
      </c>
      <c r="L48" s="73">
        <f>IF(Table1[[#This Row],[Column8]]=1,J48*K48,"")</f>
        <v>0</v>
      </c>
      <c r="M48" s="74" t="str">
        <f>VLOOKUP($B48,'Standards Crosswalk'!$A:$H,3,FALSE)</f>
        <v>CSC 16</v>
      </c>
      <c r="N48" s="74">
        <f>VLOOKUP($B48,'Standards Crosswalk'!$A:$H,4,FALSE)</f>
        <v>0</v>
      </c>
      <c r="O48" s="74" t="str">
        <f>VLOOKUP($B48,'Standards Crosswalk'!$A:$H,5,FALSE)</f>
        <v>9.2.3, 9.3.1, 9.4.3</v>
      </c>
      <c r="P48" s="74" t="str">
        <f>VLOOKUP($B48,'Standards Crosswalk'!$A:$H,6,FALSE)</f>
        <v>PR.AC-1</v>
      </c>
      <c r="Q48" s="74">
        <f>VLOOKUP($B48,'Standards Crosswalk'!$A:$H,7,FALSE)</f>
        <v>0</v>
      </c>
      <c r="R48" s="74">
        <f>VLOOKUP($B48,'Standards Crosswalk'!$A:$H,8,FALSE)</f>
        <v>0</v>
      </c>
      <c r="S48" s="74" t="str">
        <f>VLOOKUP($B48,'Standards Crosswalk'!$A:$I,9,FALSE)</f>
        <v>8.x</v>
      </c>
    </row>
    <row r="49" spans="1:19" ht="86.25" thickBot="1" x14ac:dyDescent="0.25">
      <c r="A49" s="73">
        <f t="shared" si="1"/>
        <v>47</v>
      </c>
      <c r="B49" s="79" t="s">
        <v>221</v>
      </c>
      <c r="C49" s="80" t="str">
        <f>VLOOKUP(B49,HECVAT!A:E,2,FALSE)</f>
        <v>Do you have documented password/passphrase reset procedures that are currently implemented in the system and/or customer support?</v>
      </c>
      <c r="D49" s="73">
        <f>VLOOKUP(B49,HECVAT!A:E,4,FALSE)</f>
        <v>0</v>
      </c>
      <c r="E49" s="81" t="b">
        <f>IF(Table1[[#This Row],[Column11]]&gt;20,TRUE,FALSE)</f>
        <v>0</v>
      </c>
      <c r="F49" s="81" t="s">
        <v>2048</v>
      </c>
      <c r="G49" s="82" t="s">
        <v>17</v>
      </c>
      <c r="H49" s="83">
        <v>1</v>
      </c>
      <c r="I49" s="73">
        <f>VLOOKUP(B49,HECVAT!A:E,3,FALSE)</f>
        <v>0</v>
      </c>
      <c r="J49" s="73">
        <f>IF(Table1[[#This Row],[Column7]]=Table1[[#This Row],[Column9]],1,0)</f>
        <v>0</v>
      </c>
      <c r="K49" s="73">
        <f>IF(Table1[[#This Row],[Column8]]=1,20,"")</f>
        <v>20</v>
      </c>
      <c r="L49" s="73">
        <f>IF(Table1[[#This Row],[Column8]]=1,J49*K49,"")</f>
        <v>0</v>
      </c>
      <c r="M49" s="74" t="str">
        <f>VLOOKUP($B49,'Standards Crosswalk'!$A:$H,3,FALSE)</f>
        <v>CSC 16</v>
      </c>
      <c r="N49" s="74">
        <f>VLOOKUP($B49,'Standards Crosswalk'!$A:$H,4,FALSE)</f>
        <v>0</v>
      </c>
      <c r="O49" s="74" t="str">
        <f>VLOOKUP($B49,'Standards Crosswalk'!$A:$H,5,FALSE)</f>
        <v>9.2.3, 9.3.1, 9.4.3</v>
      </c>
      <c r="P49" s="74" t="str">
        <f>VLOOKUP($B49,'Standards Crosswalk'!$A:$H,6,FALSE)</f>
        <v>PR.AC-1</v>
      </c>
      <c r="Q49" s="74" t="str">
        <f>VLOOKUP($B49,'Standards Crosswalk'!$A:$H,7,FALSE)</f>
        <v>3.5.5, 3.5.8</v>
      </c>
      <c r="R49" s="74" t="str">
        <f>VLOOKUP($B49,'Standards Crosswalk'!$A:$H,8,FALSE)</f>
        <v>IA-4</v>
      </c>
      <c r="S49" s="74" t="str">
        <f>VLOOKUP($B49,'Standards Crosswalk'!$A:$I,9,FALSE)</f>
        <v>2.1, 8.x</v>
      </c>
    </row>
    <row r="50" spans="1:19" ht="86.25" thickBot="1" x14ac:dyDescent="0.25">
      <c r="A50" s="73">
        <f t="shared" si="1"/>
        <v>48</v>
      </c>
      <c r="B50" s="79" t="s">
        <v>222</v>
      </c>
      <c r="C50" s="80" t="str">
        <f>VLOOKUP(B50,HECVAT!A:E,2,FALSE)</f>
        <v>Does your web-based interface support authentication, including standards-based single-sign-on? (e.g. InCommon)</v>
      </c>
      <c r="D50" s="73">
        <f>VLOOKUP(B50,HECVAT!A:E,4,FALSE)</f>
        <v>0</v>
      </c>
      <c r="E50" s="81" t="b">
        <f>IF(Table1[[#This Row],[Column11]]&gt;20,TRUE,FALSE)</f>
        <v>1</v>
      </c>
      <c r="F50" s="81" t="s">
        <v>2048</v>
      </c>
      <c r="G50" s="82" t="s">
        <v>17</v>
      </c>
      <c r="H50" s="83">
        <v>1</v>
      </c>
      <c r="I50" s="73">
        <f>VLOOKUP(B50,HECVAT!A:E,3,FALSE)</f>
        <v>0</v>
      </c>
      <c r="J50" s="73">
        <f>IF(Table1[[#This Row],[Column7]]=Table1[[#This Row],[Column9]],1,0)</f>
        <v>0</v>
      </c>
      <c r="K50" s="73">
        <f>IF(Table1[[#This Row],[Column8]]=1,40,"")</f>
        <v>40</v>
      </c>
      <c r="L50" s="73">
        <f>IF(Table1[[#This Row],[Column8]]=1,J50*K50,"")</f>
        <v>0</v>
      </c>
      <c r="M50" s="74" t="str">
        <f>VLOOKUP($B50,'Standards Crosswalk'!$A:$H,3,FALSE)</f>
        <v>CSC 16</v>
      </c>
      <c r="N50" s="74">
        <f>VLOOKUP($B50,'Standards Crosswalk'!$A:$H,4,FALSE)</f>
        <v>0</v>
      </c>
      <c r="O50" s="74" t="str">
        <f>VLOOKUP($B50,'Standards Crosswalk'!$A:$H,5,FALSE)</f>
        <v>9.1.1, 9.2.3, 9.3.1, 9.4.3</v>
      </c>
      <c r="P50" s="74" t="str">
        <f>VLOOKUP($B50,'Standards Crosswalk'!$A:$H,6,FALSE)</f>
        <v>PR.AC-1</v>
      </c>
      <c r="Q50" s="74" t="str">
        <f>VLOOKUP($B50,'Standards Crosswalk'!$A:$H,7,FALSE)</f>
        <v>3.5.1</v>
      </c>
      <c r="R50" s="74" t="str">
        <f>VLOOKUP($B50,'Standards Crosswalk'!$A:$H,8,FALSE)</f>
        <v>IA-2, IA-5</v>
      </c>
      <c r="S50" s="74" t="str">
        <f>VLOOKUP($B50,'Standards Crosswalk'!$A:$I,9,FALSE)</f>
        <v>8.x</v>
      </c>
    </row>
    <row r="51" spans="1:19" ht="86.25" thickBot="1" x14ac:dyDescent="0.25">
      <c r="A51" s="73">
        <f t="shared" si="1"/>
        <v>49</v>
      </c>
      <c r="B51" s="79" t="s">
        <v>223</v>
      </c>
      <c r="C51" s="80" t="str">
        <f>VLOOKUP(B51,HECVAT!A:E,2,FALSE)</f>
        <v>Are there any passwords/passphrases hard coded into your systems or products?</v>
      </c>
      <c r="D51" s="73">
        <f>VLOOKUP(B51,HECVAT!A:E,4,FALSE)</f>
        <v>0</v>
      </c>
      <c r="E51" s="81" t="b">
        <f>IF(Table1[[#This Row],[Column11]]&gt;20,TRUE,FALSE)</f>
        <v>1</v>
      </c>
      <c r="F51" s="81" t="s">
        <v>2048</v>
      </c>
      <c r="G51" s="82" t="s">
        <v>21</v>
      </c>
      <c r="H51" s="83">
        <v>1</v>
      </c>
      <c r="I51" s="73">
        <f>VLOOKUP(B51,HECVAT!A:E,3,FALSE)</f>
        <v>0</v>
      </c>
      <c r="J51" s="73">
        <f>IF(Table1[[#This Row],[Column7]]=Table1[[#This Row],[Column9]],1,0)</f>
        <v>0</v>
      </c>
      <c r="K51" s="73">
        <f>IF(Table1[[#This Row],[Column8]]=1,40,"")</f>
        <v>40</v>
      </c>
      <c r="L51" s="73">
        <f>IF(Table1[[#This Row],[Column8]]=1,J51*K51,"")</f>
        <v>0</v>
      </c>
      <c r="M51" s="74" t="str">
        <f>VLOOKUP($B51,'Standards Crosswalk'!$A:$H,3,FALSE)</f>
        <v>CSC 16</v>
      </c>
      <c r="N51" s="74">
        <f>VLOOKUP($B51,'Standards Crosswalk'!$A:$H,4,FALSE)</f>
        <v>0</v>
      </c>
      <c r="O51" s="74" t="str">
        <f>VLOOKUP($B51,'Standards Crosswalk'!$A:$H,5,FALSE)</f>
        <v>9</v>
      </c>
      <c r="P51" s="74">
        <f>VLOOKUP($B51,'Standards Crosswalk'!$A:$H,6,FALSE)</f>
        <v>0</v>
      </c>
      <c r="Q51" s="74">
        <f>VLOOKUP($B51,'Standards Crosswalk'!$A:$H,7,FALSE)</f>
        <v>0</v>
      </c>
      <c r="R51" s="74">
        <f>VLOOKUP($B51,'Standards Crosswalk'!$A:$H,8,FALSE)</f>
        <v>0</v>
      </c>
      <c r="S51" s="74" t="str">
        <f>VLOOKUP($B51,'Standards Crosswalk'!$A:$I,9,FALSE)</f>
        <v>2.1, 8.x</v>
      </c>
    </row>
    <row r="52" spans="1:19" ht="86.25" thickBot="1" x14ac:dyDescent="0.25">
      <c r="A52" s="73">
        <f t="shared" si="1"/>
        <v>50</v>
      </c>
      <c r="B52" s="79" t="s">
        <v>224</v>
      </c>
      <c r="C52" s="80" t="str">
        <f>VLOOKUP(B52,HECVAT!A:E,2,FALSE)</f>
        <v>Are user account passwords/passphrases visible in administration modules?</v>
      </c>
      <c r="D52" s="73">
        <f>VLOOKUP(B52,HECVAT!A:E,4,FALSE)</f>
        <v>0</v>
      </c>
      <c r="E52" s="81" t="b">
        <f>IF(Table1[[#This Row],[Column11]]&gt;20,TRUE,FALSE)</f>
        <v>1</v>
      </c>
      <c r="F52" s="81" t="s">
        <v>2048</v>
      </c>
      <c r="G52" s="82" t="s">
        <v>21</v>
      </c>
      <c r="H52" s="83">
        <v>1</v>
      </c>
      <c r="I52" s="73">
        <f>VLOOKUP(B52,HECVAT!A:E,3,FALSE)</f>
        <v>0</v>
      </c>
      <c r="J52" s="73">
        <f>IF(Table1[[#This Row],[Column7]]=Table1[[#This Row],[Column9]],1,0)</f>
        <v>0</v>
      </c>
      <c r="K52" s="73">
        <f>IF(Table1[[#This Row],[Column8]]=1,25,"")</f>
        <v>25</v>
      </c>
      <c r="L52" s="73">
        <f>IF(Table1[[#This Row],[Column8]]=1,J52*K52,"")</f>
        <v>0</v>
      </c>
      <c r="M52" s="74" t="str">
        <f>VLOOKUP($B52,'Standards Crosswalk'!$A:$H,3,FALSE)</f>
        <v>CSC 16</v>
      </c>
      <c r="N52" s="74">
        <f>VLOOKUP($B52,'Standards Crosswalk'!$A:$H,4,FALSE)</f>
        <v>0</v>
      </c>
      <c r="O52" s="74" t="str">
        <f>VLOOKUP($B52,'Standards Crosswalk'!$A:$H,5,FALSE)</f>
        <v>9</v>
      </c>
      <c r="P52" s="74" t="str">
        <f>VLOOKUP($B52,'Standards Crosswalk'!$A:$H,6,FALSE)</f>
        <v>PR.AC-1</v>
      </c>
      <c r="Q52" s="74">
        <f>VLOOKUP($B52,'Standards Crosswalk'!$A:$H,7,FALSE)</f>
        <v>0</v>
      </c>
      <c r="R52" s="74">
        <f>VLOOKUP($B52,'Standards Crosswalk'!$A:$H,8,FALSE)</f>
        <v>0</v>
      </c>
      <c r="S52" s="74" t="str">
        <f>VLOOKUP($B52,'Standards Crosswalk'!$A:$I,9,FALSE)</f>
        <v>8.x</v>
      </c>
    </row>
    <row r="53" spans="1:19" ht="86.25" thickBot="1" x14ac:dyDescent="0.25">
      <c r="A53" s="73">
        <f t="shared" si="1"/>
        <v>51</v>
      </c>
      <c r="B53" s="79" t="s">
        <v>225</v>
      </c>
      <c r="C53" s="80" t="str">
        <f>VLOOKUP(B53,HECVAT!A:E,2,FALSE)</f>
        <v>Are user account passwords/passphrases stored encrypted?</v>
      </c>
      <c r="D53" s="73">
        <f>VLOOKUP(B53,HECVAT!A:E,4,FALSE)</f>
        <v>0</v>
      </c>
      <c r="E53" s="81" t="b">
        <f>IF(Table1[[#This Row],[Column11]]&gt;20,TRUE,FALSE)</f>
        <v>1</v>
      </c>
      <c r="F53" s="81" t="s">
        <v>2048</v>
      </c>
      <c r="G53" s="82" t="s">
        <v>17</v>
      </c>
      <c r="H53" s="83">
        <v>1</v>
      </c>
      <c r="I53" s="73">
        <f>VLOOKUP(B53,HECVAT!A:E,3,FALSE)</f>
        <v>0</v>
      </c>
      <c r="J53" s="73">
        <f>IF(Table1[[#This Row],[Column7]]=Table1[[#This Row],[Column9]],1,0)</f>
        <v>0</v>
      </c>
      <c r="K53" s="73">
        <f>IF(Table1[[#This Row],[Column8]]=1,40,"")</f>
        <v>40</v>
      </c>
      <c r="L53" s="73">
        <f>IF(Table1[[#This Row],[Column8]]=1,J53*K53,"")</f>
        <v>0</v>
      </c>
      <c r="M53" s="74" t="str">
        <f>VLOOKUP($B53,'Standards Crosswalk'!$A:$H,3,FALSE)</f>
        <v>CSC 16</v>
      </c>
      <c r="N53" s="74">
        <f>VLOOKUP($B53,'Standards Crosswalk'!$A:$H,4,FALSE)</f>
        <v>0</v>
      </c>
      <c r="O53" s="74" t="str">
        <f>VLOOKUP($B53,'Standards Crosswalk'!$A:$H,5,FALSE)</f>
        <v>9</v>
      </c>
      <c r="P53" s="74" t="str">
        <f>VLOOKUP($B53,'Standards Crosswalk'!$A:$H,6,FALSE)</f>
        <v>PR.AC-1</v>
      </c>
      <c r="Q53" s="74" t="str">
        <f>VLOOKUP($B53,'Standards Crosswalk'!$A:$H,7,FALSE)</f>
        <v>3.5.10</v>
      </c>
      <c r="R53" s="74" t="str">
        <f>VLOOKUP($B53,'Standards Crosswalk'!$A:$H,8,FALSE)</f>
        <v>IA-5(1)</v>
      </c>
      <c r="S53" s="74" t="str">
        <f>VLOOKUP($B53,'Standards Crosswalk'!$A:$I,9,FALSE)</f>
        <v>8.x</v>
      </c>
    </row>
    <row r="54" spans="1:19" ht="86.25" thickBot="1" x14ac:dyDescent="0.25">
      <c r="A54" s="73">
        <f t="shared" si="1"/>
        <v>52</v>
      </c>
      <c r="B54" s="79" t="s">
        <v>226</v>
      </c>
      <c r="C54" s="80" t="str">
        <f>VLOOKUP(B54,HECVAT!A:E,2,FALSE)</f>
        <v>Does your application and/or user-frontend/portal support multi-factor authentication? (e.g. Duo, Google Authenticator, OTP, etc.)</v>
      </c>
      <c r="D54" s="73">
        <f>VLOOKUP(B54,HECVAT!A:E,4,FALSE)</f>
        <v>0</v>
      </c>
      <c r="E54" s="81" t="b">
        <f>IF(Table1[[#This Row],[Column11]]&gt;20,TRUE,FALSE)</f>
        <v>0</v>
      </c>
      <c r="F54" s="81" t="s">
        <v>2048</v>
      </c>
      <c r="G54" s="82" t="s">
        <v>17</v>
      </c>
      <c r="H54" s="83">
        <v>1</v>
      </c>
      <c r="I54" s="73">
        <f>VLOOKUP(B54,HECVAT!A:E,3,FALSE)</f>
        <v>0</v>
      </c>
      <c r="J54" s="73">
        <f>IF(Table1[[#This Row],[Column7]]=Table1[[#This Row],[Column9]],1,0)</f>
        <v>0</v>
      </c>
      <c r="K54" s="73">
        <f>IF(Table1[[#This Row],[Column8]]=1,20,"")</f>
        <v>20</v>
      </c>
      <c r="L54" s="73">
        <f>IF(Table1[[#This Row],[Column8]]=1,J54*K54,"")</f>
        <v>0</v>
      </c>
      <c r="M54" s="74" t="str">
        <f>VLOOKUP($B54,'Standards Crosswalk'!$A:$H,3,FALSE)</f>
        <v>CSC 16</v>
      </c>
      <c r="N54" s="74">
        <f>VLOOKUP($B54,'Standards Crosswalk'!$A:$H,4,FALSE)</f>
        <v>0</v>
      </c>
      <c r="O54" s="74" t="str">
        <f>VLOOKUP($B54,'Standards Crosswalk'!$A:$H,5,FALSE)</f>
        <v>9</v>
      </c>
      <c r="P54" s="74" t="str">
        <f>VLOOKUP($B54,'Standards Crosswalk'!$A:$H,6,FALSE)</f>
        <v>PR.AC-4</v>
      </c>
      <c r="Q54" s="74" t="str">
        <f>VLOOKUP($B54,'Standards Crosswalk'!$A:$H,7,FALSE)</f>
        <v>3.5.2, 3.5.3</v>
      </c>
      <c r="R54" s="74" t="str">
        <f>VLOOKUP($B54,'Standards Crosswalk'!$A:$H,8,FALSE)</f>
        <v>IA-5</v>
      </c>
      <c r="S54" s="74" t="str">
        <f>VLOOKUP($B54,'Standards Crosswalk'!$A:$I,9,FALSE)</f>
        <v>8.x</v>
      </c>
    </row>
    <row r="55" spans="1:19" ht="86.25" thickBot="1" x14ac:dyDescent="0.25">
      <c r="A55" s="73">
        <f t="shared" si="1"/>
        <v>53</v>
      </c>
      <c r="B55" s="79" t="s">
        <v>227</v>
      </c>
      <c r="C55" s="80" t="str">
        <f>VLOOKUP(B55,HECVAT!A:E,2,FALSE)</f>
        <v>Does your application support integration with other authentication and authorization systems?  List which ones (such as Active Directory, Kerberos and what version) in Additional Info?</v>
      </c>
      <c r="D55" s="73">
        <f>VLOOKUP(B55,HECVAT!A:E,4,FALSE)</f>
        <v>0</v>
      </c>
      <c r="E55" s="81" t="b">
        <f>IF(Table1[[#This Row],[Column11]]&gt;20,TRUE,FALSE)</f>
        <v>0</v>
      </c>
      <c r="F55" s="81" t="s">
        <v>2048</v>
      </c>
      <c r="G55" s="82" t="s">
        <v>17</v>
      </c>
      <c r="H55" s="83">
        <v>1</v>
      </c>
      <c r="I55" s="73">
        <f>VLOOKUP(B55,HECVAT!A:E,3,FALSE)</f>
        <v>0</v>
      </c>
      <c r="J55" s="73">
        <f>IF(Table1[[#This Row],[Column7]]=Table1[[#This Row],[Column9]],1,0)</f>
        <v>0</v>
      </c>
      <c r="K55" s="73">
        <f>IF(Table1[[#This Row],[Column8]]=1,15,"")</f>
        <v>15</v>
      </c>
      <c r="L55" s="73">
        <f>IF(Table1[[#This Row],[Column8]]=1,J55*K55,"")</f>
        <v>0</v>
      </c>
      <c r="M55" s="74" t="str">
        <f>VLOOKUP($B55,'Standards Crosswalk'!$A:$H,3,FALSE)</f>
        <v>CSC 16</v>
      </c>
      <c r="N55" s="74">
        <f>VLOOKUP($B55,'Standards Crosswalk'!$A:$H,4,FALSE)</f>
        <v>0</v>
      </c>
      <c r="O55" s="74" t="str">
        <f>VLOOKUP($B55,'Standards Crosswalk'!$A:$H,5,FALSE)</f>
        <v>9.4.3</v>
      </c>
      <c r="P55" s="74" t="str">
        <f>VLOOKUP($B55,'Standards Crosswalk'!$A:$H,6,FALSE)</f>
        <v>PR.AC-1, PR.AC-4</v>
      </c>
      <c r="Q55" s="74">
        <f>VLOOKUP($B55,'Standards Crosswalk'!$A:$H,7,FALSE)</f>
        <v>0</v>
      </c>
      <c r="R55" s="74">
        <f>VLOOKUP($B55,'Standards Crosswalk'!$A:$H,8,FALSE)</f>
        <v>0</v>
      </c>
      <c r="S55" s="74">
        <f>VLOOKUP($B55,'Standards Crosswalk'!$A:$I,9,FALSE)</f>
        <v>0</v>
      </c>
    </row>
    <row r="56" spans="1:19" ht="86.25" thickBot="1" x14ac:dyDescent="0.25">
      <c r="A56" s="73">
        <f t="shared" si="1"/>
        <v>54</v>
      </c>
      <c r="B56" s="79" t="s">
        <v>228</v>
      </c>
      <c r="C56" s="80" t="str">
        <f>VLOOKUP(B56,HECVAT!A:E,2,FALSE)</f>
        <v>Will any external authentication or authorization system be utilized by an application with access to the institution's data?</v>
      </c>
      <c r="D56" s="73">
        <f>VLOOKUP(B56,HECVAT!A:E,4,FALSE)</f>
        <v>0</v>
      </c>
      <c r="E56" s="81" t="b">
        <f>IF(Table1[[#This Row],[Column11]]&gt;20,TRUE,FALSE)</f>
        <v>1</v>
      </c>
      <c r="F56" s="81" t="s">
        <v>2048</v>
      </c>
      <c r="G56" s="82" t="s">
        <v>21</v>
      </c>
      <c r="H56" s="83">
        <f>IF(I55="Yes",1,0)</f>
        <v>0</v>
      </c>
      <c r="I56" s="73">
        <f>VLOOKUP(B56,HECVAT!A:E,3,FALSE)</f>
        <v>0</v>
      </c>
      <c r="J56" s="73">
        <f>IF(Table1[[#This Row],[Column7]]=Table1[[#This Row],[Column9]],1,0)</f>
        <v>0</v>
      </c>
      <c r="K56" s="73" t="str">
        <f>IF(Table1[[#This Row],[Column8]]=1,20,"")</f>
        <v/>
      </c>
      <c r="L56" s="73" t="str">
        <f>IF(Table1[[#This Row],[Column8]]=1,J56*K56,"")</f>
        <v/>
      </c>
      <c r="M56" s="74" t="str">
        <f>VLOOKUP($B56,'Standards Crosswalk'!$A:$H,3,FALSE)</f>
        <v>CSC 16</v>
      </c>
      <c r="N56" s="74">
        <f>VLOOKUP($B56,'Standards Crosswalk'!$A:$H,4,FALSE)</f>
        <v>0</v>
      </c>
      <c r="O56" s="74" t="str">
        <f>VLOOKUP($B56,'Standards Crosswalk'!$A:$H,5,FALSE)</f>
        <v>9</v>
      </c>
      <c r="P56" s="74" t="str">
        <f>VLOOKUP($B56,'Standards Crosswalk'!$A:$H,6,FALSE)</f>
        <v>PR.AC-1, PR.AC-4</v>
      </c>
      <c r="Q56" s="74">
        <f>VLOOKUP($B56,'Standards Crosswalk'!$A:$H,7,FALSE)</f>
        <v>0</v>
      </c>
      <c r="R56" s="74">
        <f>VLOOKUP($B56,'Standards Crosswalk'!$A:$H,8,FALSE)</f>
        <v>0</v>
      </c>
      <c r="S56" s="74" t="str">
        <f>VLOOKUP($B56,'Standards Crosswalk'!$A:$I,9,FALSE)</f>
        <v>8.x</v>
      </c>
    </row>
    <row r="57" spans="1:19" ht="86.25" thickBot="1" x14ac:dyDescent="0.25">
      <c r="A57" s="73">
        <f t="shared" si="1"/>
        <v>55</v>
      </c>
      <c r="B57" s="79" t="s">
        <v>229</v>
      </c>
      <c r="C57" s="80" t="str">
        <f>VLOOKUP(B57,HECVAT!A:E,2,FALSE)</f>
        <v>Does the system (servers/infrastructure) support external authentication services (e.g. Active Directory, LDAP) in place of local authentication?</v>
      </c>
      <c r="D57" s="73">
        <f>VLOOKUP(B57,HECVAT!A:E,4,FALSE)</f>
        <v>0</v>
      </c>
      <c r="E57" s="81" t="b">
        <f>IF(Table1[[#This Row],[Column11]]&gt;20,TRUE,FALSE)</f>
        <v>0</v>
      </c>
      <c r="F57" s="81" t="s">
        <v>2048</v>
      </c>
      <c r="G57" s="82" t="s">
        <v>17</v>
      </c>
      <c r="H57" s="83">
        <v>1</v>
      </c>
      <c r="I57" s="73">
        <f>VLOOKUP(B57,HECVAT!A:E,3,FALSE)</f>
        <v>0</v>
      </c>
      <c r="J57" s="73">
        <f>IF(Table1[[#This Row],[Column7]]=Table1[[#This Row],[Column9]],1,0)</f>
        <v>0</v>
      </c>
      <c r="K57" s="73">
        <f>IF(Table1[[#This Row],[Column8]]=1,20,"")</f>
        <v>20</v>
      </c>
      <c r="L57" s="73">
        <f>IF(Table1[[#This Row],[Column8]]=1,J57*K57,"")</f>
        <v>0</v>
      </c>
      <c r="M57" s="74" t="str">
        <f>VLOOKUP($B57,'Standards Crosswalk'!$A:$H,3,FALSE)</f>
        <v>CSC 16</v>
      </c>
      <c r="N57" s="74">
        <f>VLOOKUP($B57,'Standards Crosswalk'!$A:$H,4,FALSE)</f>
        <v>0</v>
      </c>
      <c r="O57" s="74" t="str">
        <f>VLOOKUP($B57,'Standards Crosswalk'!$A:$H,5,FALSE)</f>
        <v>9.4.3</v>
      </c>
      <c r="P57" s="74" t="str">
        <f>VLOOKUP($B57,'Standards Crosswalk'!$A:$H,6,FALSE)</f>
        <v>PR.AC-1, PR.AC-4</v>
      </c>
      <c r="Q57" s="74">
        <f>VLOOKUP($B57,'Standards Crosswalk'!$A:$H,7,FALSE)</f>
        <v>0</v>
      </c>
      <c r="R57" s="74">
        <f>VLOOKUP($B57,'Standards Crosswalk'!$A:$H,8,FALSE)</f>
        <v>0</v>
      </c>
      <c r="S57" s="74">
        <f>VLOOKUP($B57,'Standards Crosswalk'!$A:$I,9,FALSE)</f>
        <v>0</v>
      </c>
    </row>
    <row r="58" spans="1:19" ht="73.5" customHeight="1" thickBot="1" x14ac:dyDescent="0.25">
      <c r="A58" s="73">
        <f t="shared" si="1"/>
        <v>56</v>
      </c>
      <c r="B58" s="79" t="s">
        <v>230</v>
      </c>
      <c r="C58" s="80" t="str">
        <f>VLOOKUP(B58,HECVAT!A:E,2,FALSE)</f>
        <v>Does the system operate in a mixed authentication mode (i.e. external and local authentication)?</v>
      </c>
      <c r="D58" s="73">
        <f>VLOOKUP(B58,HECVAT!A:E,4,FALSE)</f>
        <v>0</v>
      </c>
      <c r="E58" s="81" t="b">
        <f>IF(Table1[[#This Row],[Column11]]&gt;20,TRUE,FALSE)</f>
        <v>1</v>
      </c>
      <c r="F58" s="81" t="s">
        <v>2048</v>
      </c>
      <c r="G58" s="82" t="s">
        <v>21</v>
      </c>
      <c r="H58" s="83">
        <f>IF(I57="Yes",1,0)</f>
        <v>0</v>
      </c>
      <c r="I58" s="73">
        <f>VLOOKUP(B58,HECVAT!A:E,3,FALSE)</f>
        <v>0</v>
      </c>
      <c r="J58" s="73">
        <f>IF(Table1[[#This Row],[Column7]]=Table1[[#This Row],[Column9]],1,0)</f>
        <v>0</v>
      </c>
      <c r="K58" s="73" t="str">
        <f>IF(Table1[[#This Row],[Column8]]=1,20,"")</f>
        <v/>
      </c>
      <c r="L58" s="73" t="str">
        <f>IF(Table1[[#This Row],[Column8]]=1,J58*K58,"")</f>
        <v/>
      </c>
      <c r="M58" s="74" t="str">
        <f>VLOOKUP($B58,'Standards Crosswalk'!$A:$H,3,FALSE)</f>
        <v>CSC 16</v>
      </c>
      <c r="N58" s="74">
        <f>VLOOKUP($B58,'Standards Crosswalk'!$A:$H,4,FALSE)</f>
        <v>0</v>
      </c>
      <c r="O58" s="74">
        <f>VLOOKUP($B58,'Standards Crosswalk'!$A:$H,5,FALSE)</f>
        <v>0</v>
      </c>
      <c r="P58" s="74" t="str">
        <f>VLOOKUP($B58,'Standards Crosswalk'!$A:$H,6,FALSE)</f>
        <v>PR.AC-1, PR.AC-4</v>
      </c>
      <c r="Q58" s="74">
        <f>VLOOKUP($B58,'Standards Crosswalk'!$A:$H,7,FALSE)</f>
        <v>0</v>
      </c>
      <c r="R58" s="74">
        <f>VLOOKUP($B58,'Standards Crosswalk'!$A:$H,8,FALSE)</f>
        <v>0</v>
      </c>
      <c r="S58" s="74">
        <f>VLOOKUP($B58,'Standards Crosswalk'!$A:$I,9,FALSE)</f>
        <v>0</v>
      </c>
    </row>
    <row r="59" spans="1:19" ht="73.5" customHeight="1" thickBot="1" x14ac:dyDescent="0.25">
      <c r="A59" s="73">
        <f t="shared" si="1"/>
        <v>57</v>
      </c>
      <c r="B59" s="79" t="s">
        <v>231</v>
      </c>
      <c r="C59" s="80" t="str">
        <f>VLOOKUP(B59,HECVAT!A:E,2,FALSE)</f>
        <v>Will any external authentication or authorization system be utilized by a system with access to institution data?</v>
      </c>
      <c r="D59" s="73">
        <f>VLOOKUP(B59,HECVAT!A:E,4,FALSE)</f>
        <v>0</v>
      </c>
      <c r="E59" s="81" t="b">
        <f>IF(Table1[[#This Row],[Column11]]&gt;20,TRUE,FALSE)</f>
        <v>1</v>
      </c>
      <c r="F59" s="81" t="s">
        <v>2048</v>
      </c>
      <c r="G59" s="82" t="s">
        <v>21</v>
      </c>
      <c r="H59" s="83">
        <f>IF(I57="Yes",1,0)</f>
        <v>0</v>
      </c>
      <c r="I59" s="73">
        <f>VLOOKUP(B59,HECVAT!A:E,3,FALSE)</f>
        <v>0</v>
      </c>
      <c r="J59" s="73">
        <f>IF(Table1[[#This Row],[Column7]]=Table1[[#This Row],[Column9]],1,0)</f>
        <v>0</v>
      </c>
      <c r="K59" s="73" t="str">
        <f>IF(Table1[[#This Row],[Column8]]=1,20,"")</f>
        <v/>
      </c>
      <c r="L59" s="73" t="str">
        <f>IF(Table1[[#This Row],[Column8]]=1,J59*K59,"")</f>
        <v/>
      </c>
      <c r="M59" s="74" t="str">
        <f>VLOOKUP($B59,'Standards Crosswalk'!$A:$H,3,FALSE)</f>
        <v>CSC 16</v>
      </c>
      <c r="N59" s="74">
        <f>VLOOKUP($B59,'Standards Crosswalk'!$A:$H,4,FALSE)</f>
        <v>0</v>
      </c>
      <c r="O59" s="74">
        <f>VLOOKUP($B59,'Standards Crosswalk'!$A:$H,5,FALSE)</f>
        <v>0</v>
      </c>
      <c r="P59" s="74" t="str">
        <f>VLOOKUP($B59,'Standards Crosswalk'!$A:$H,6,FALSE)</f>
        <v>PR.AC-1, PR.AC-4</v>
      </c>
      <c r="Q59" s="74" t="str">
        <f>VLOOKUP($B59,'Standards Crosswalk'!$A:$H,7,FALSE)</f>
        <v>3.1.1</v>
      </c>
      <c r="R59" s="74">
        <f>VLOOKUP($B59,'Standards Crosswalk'!$A:$H,8,FALSE)</f>
        <v>0</v>
      </c>
      <c r="S59" s="74" t="str">
        <f>VLOOKUP($B59,'Standards Crosswalk'!$A:$I,9,FALSE)</f>
        <v>8.x</v>
      </c>
    </row>
    <row r="60" spans="1:19" ht="73.5" customHeight="1" thickBot="1" x14ac:dyDescent="0.25">
      <c r="A60" s="73">
        <f t="shared" si="1"/>
        <v>58</v>
      </c>
      <c r="B60" s="79" t="s">
        <v>232</v>
      </c>
      <c r="C60" s="80" t="str">
        <f>VLOOKUP(B60,HECVAT!A:E,2,FALSE)</f>
        <v>Are audit logs available that include AT LEAST all of the following; login, logout, actions performed, and source IP address?</v>
      </c>
      <c r="D60" s="73">
        <f>VLOOKUP(B60,HECVAT!A:E,4,FALSE)</f>
        <v>0</v>
      </c>
      <c r="E60" s="81" t="b">
        <f>IF(Table1[[#This Row],[Column11]]&gt;20,TRUE,FALSE)</f>
        <v>1</v>
      </c>
      <c r="F60" s="81" t="s">
        <v>2048</v>
      </c>
      <c r="G60" s="100" t="s">
        <v>17</v>
      </c>
      <c r="H60" s="83">
        <v>1</v>
      </c>
      <c r="I60" s="73">
        <f>VLOOKUP(B60,HECVAT!A:E,3,FALSE)</f>
        <v>0</v>
      </c>
      <c r="J60" s="73">
        <f>IF(Table1[[#This Row],[Column7]]=Table1[[#This Row],[Column9]],1,0)</f>
        <v>0</v>
      </c>
      <c r="K60" s="73">
        <f>IF(Table1[[#This Row],[Column8]]=1,25,"")</f>
        <v>25</v>
      </c>
      <c r="L60" s="73">
        <f>IF(Table1[[#This Row],[Column8]]=1,J60*K60,"")</f>
        <v>0</v>
      </c>
      <c r="M60" s="74" t="str">
        <f>VLOOKUP($B60,'Standards Crosswalk'!$A:$H,3,FALSE)</f>
        <v>CSC 6</v>
      </c>
      <c r="N60" s="74">
        <f>VLOOKUP($B60,'Standards Crosswalk'!$A:$H,4,FALSE)</f>
        <v>0</v>
      </c>
      <c r="O60" s="74" t="str">
        <f>VLOOKUP($B60,'Standards Crosswalk'!$A:$H,5,FALSE)</f>
        <v>12.4</v>
      </c>
      <c r="P60" s="74" t="str">
        <f>VLOOKUP($B60,'Standards Crosswalk'!$A:$H,6,FALSE)</f>
        <v>PR.PT-1</v>
      </c>
      <c r="Q60" s="74" t="str">
        <f>VLOOKUP($B60,'Standards Crosswalk'!$A:$H,7,FALSE)</f>
        <v>3.1.7, 3.3.1</v>
      </c>
      <c r="R60" s="74" t="str">
        <f>VLOOKUP($B60,'Standards Crosswalk'!$A:$H,8,FALSE)</f>
        <v>AC-6(1,3,9), AU-2, AU-2(3), AU-3, AU-7, AU-9(4), AU-12, NIST 800-92</v>
      </c>
      <c r="S60" s="74" t="str">
        <f>VLOOKUP($B60,'Standards Crosswalk'!$A:$I,9,FALSE)</f>
        <v>10.1, 10.2, 10.3, 10.5, 10.6, 10.7</v>
      </c>
    </row>
    <row r="61" spans="1:19" ht="73.5" customHeight="1" thickBot="1" x14ac:dyDescent="0.25">
      <c r="A61" s="73">
        <f t="shared" si="1"/>
        <v>59</v>
      </c>
      <c r="B61" s="79" t="s">
        <v>233</v>
      </c>
      <c r="C61" s="80" t="str">
        <f>VLOOKUP(B61,HECVAT!A:E,2,FALSE)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73">
        <f>VLOOKUP(B61,HECVAT!A:E,4,FALSE)</f>
        <v>0</v>
      </c>
      <c r="E61" s="81" t="b">
        <f>IF(Table1[[#This Row],[Column11]]&gt;20,TRUE,FALSE)</f>
        <v>1</v>
      </c>
      <c r="F61" s="81" t="s">
        <v>2048</v>
      </c>
      <c r="G61" s="82" t="s">
        <v>21</v>
      </c>
      <c r="H61" s="83">
        <v>1</v>
      </c>
      <c r="I61" s="73">
        <f>VLOOKUP(B61,HECVAT!A:E,3,FALSE)</f>
        <v>0</v>
      </c>
      <c r="J61" s="73">
        <f>IF(VLOOKUP(Table1[[#This Row],[Column2]],'Analyst Report'!$A$41:$G$88,7,FALSE)="Yes",1,0)</f>
        <v>0</v>
      </c>
      <c r="K61" s="73">
        <f>IF(Table1[[#This Row],[Column8]]=1,25,"")</f>
        <v>25</v>
      </c>
      <c r="L61" s="73">
        <f>IF(Table1[[#This Row],[Column8]]=1,J61*K61,"")</f>
        <v>0</v>
      </c>
      <c r="M61" s="74" t="str">
        <f>VLOOKUP($B61,'Standards Crosswalk'!$A:$H,3,FALSE)</f>
        <v>CSC 6</v>
      </c>
      <c r="N61" s="74">
        <f>VLOOKUP($B61,'Standards Crosswalk'!$A:$H,4,FALSE)</f>
        <v>0</v>
      </c>
      <c r="O61" s="74" t="str">
        <f>VLOOKUP($B61,'Standards Crosswalk'!$A:$H,5,FALSE)</f>
        <v>12.4</v>
      </c>
      <c r="P61" s="74" t="str">
        <f>VLOOKUP($B61,'Standards Crosswalk'!$A:$H,6,FALSE)</f>
        <v>PR.PT-1</v>
      </c>
      <c r="Q61" s="74" t="str">
        <f>VLOOKUP($B61,'Standards Crosswalk'!$A:$H,7,FALSE)</f>
        <v>3.1.7, 3.3.2, 3.3.3, 3.3.4, 3.3.5, 3.4.3, 3.7.1, 3.7.6, 3.10.4, 3.10.5</v>
      </c>
      <c r="R61" s="74" t="str">
        <f>VLOOKUP($B61,'Standards Crosswalk'!$A:$H,8,FALSE)</f>
        <v>AU-2(3), AU-6, AU-12, AC-6(9), CM-3, MA-2, MA-5, PE-3</v>
      </c>
      <c r="S61" s="74" t="str">
        <f>VLOOKUP($B61,'Standards Crosswalk'!$A:$I,9,FALSE)</f>
        <v>10.1, 10.2, 10.3, 10.5, 10.6, 10.7, 9.x</v>
      </c>
    </row>
    <row r="62" spans="1:19" ht="86.25" thickBot="1" x14ac:dyDescent="0.25">
      <c r="A62" s="73">
        <f t="shared" si="1"/>
        <v>60</v>
      </c>
      <c r="B62" s="79" t="s">
        <v>234</v>
      </c>
      <c r="C62" s="80" t="str">
        <f>VLOOKUP(B62,HECVAT!A:E,2,FALSE)</f>
        <v>Describe or provide a reference to the retention period for those logs, how logs are protected, and whether they are accessible to the customer (and if so, how).</v>
      </c>
      <c r="D62" s="73">
        <f>VLOOKUP(B62,HECVAT!A:E,4,FALSE)</f>
        <v>0</v>
      </c>
      <c r="E62" s="81" t="b">
        <f>IF(Table1[[#This Row],[Column11]]&gt;20,TRUE,FALSE)</f>
        <v>0</v>
      </c>
      <c r="F62" s="81" t="s">
        <v>2048</v>
      </c>
      <c r="G62" s="100" t="s">
        <v>17</v>
      </c>
      <c r="H62" s="83">
        <v>1</v>
      </c>
      <c r="I62" s="73">
        <f>VLOOKUP(B62,HECVAT!A:E,3,FALSE)</f>
        <v>0</v>
      </c>
      <c r="J62" s="73">
        <f>IF(Table1[[#This Row],[Column7]]=Table1[[#This Row],[Column9]],1,0)</f>
        <v>0</v>
      </c>
      <c r="K62" s="73">
        <f>IF(Table1[[#This Row],[Column8]]=1,20,"")</f>
        <v>20</v>
      </c>
      <c r="L62" s="73">
        <f>IF(Table1[[#This Row],[Column8]]=1,J62*K62,"")</f>
        <v>0</v>
      </c>
      <c r="M62" s="74" t="str">
        <f>VLOOKUP($B62,'Standards Crosswalk'!$A:$H,3,FALSE)</f>
        <v>CSC 6</v>
      </c>
      <c r="N62" s="74">
        <f>VLOOKUP($B62,'Standards Crosswalk'!$A:$H,4,FALSE)</f>
        <v>0</v>
      </c>
      <c r="O62" s="74" t="str">
        <f>VLOOKUP($B62,'Standards Crosswalk'!$A:$H,5,FALSE)</f>
        <v>12.4</v>
      </c>
      <c r="P62" s="74" t="str">
        <f>VLOOKUP($B62,'Standards Crosswalk'!$A:$H,6,FALSE)</f>
        <v>PR.PT-1</v>
      </c>
      <c r="Q62" s="74" t="str">
        <f>VLOOKUP($B62,'Standards Crosswalk'!$A:$H,7,FALSE)</f>
        <v>3.3.8, 3.3.9</v>
      </c>
      <c r="R62" s="74" t="str">
        <f>VLOOKUP($B62,'Standards Crosswalk'!$A:$H,8,FALSE)</f>
        <v>AU-9</v>
      </c>
      <c r="S62" s="74">
        <f>VLOOKUP($B62,'Standards Crosswalk'!$A:$I,9,FALSE)</f>
        <v>10.7</v>
      </c>
    </row>
    <row r="63" spans="1:19" ht="57.75" thickBot="1" x14ac:dyDescent="0.25">
      <c r="A63" s="73">
        <f t="shared" si="1"/>
        <v>61</v>
      </c>
      <c r="B63" s="79" t="s">
        <v>217</v>
      </c>
      <c r="C63" s="80" t="str">
        <f>VLOOKUP(B63,HECVAT!A:E,2,FALSE)</f>
        <v>Describe or provide a reference to your Business Continuity Plan (BCP).</v>
      </c>
      <c r="D63" s="73">
        <f>VLOOKUP(B63,HECVAT!A:E,4,FALSE)</f>
        <v>0</v>
      </c>
      <c r="E63" s="81" t="b">
        <f>IF(Table1[[#This Row],[Column11]]&gt;20,TRUE,FALSE)</f>
        <v>1</v>
      </c>
      <c r="F63" s="81" t="s">
        <v>2049</v>
      </c>
      <c r="G63" s="82" t="s">
        <v>17</v>
      </c>
      <c r="H63" s="83">
        <v>1</v>
      </c>
      <c r="I63" s="73">
        <f>VLOOKUP(B63,HECVAT!A:E,3,FALSE)</f>
        <v>0</v>
      </c>
      <c r="J63" s="73">
        <f>IF(VLOOKUP(Table1[[#This Row],[Column2]],'Analyst Report'!$A$41:$G$88,7,FALSE)="Yes",1,0)</f>
        <v>0</v>
      </c>
      <c r="K63" s="73">
        <f>IF(Table1[[#This Row],[Column8]]=1,25,"")</f>
        <v>25</v>
      </c>
      <c r="L63" s="73">
        <f>IF(Table1[[#This Row],[Column8]]=1,J63*K63,"")</f>
        <v>0</v>
      </c>
      <c r="M63" s="74" t="str">
        <f>VLOOKUP($B63,'Standards Crosswalk'!$A:$H,3,FALSE)</f>
        <v>CSC 10</v>
      </c>
      <c r="N63" s="74">
        <f>VLOOKUP($B63,'Standards Crosswalk'!$A:$H,4,FALSE)</f>
        <v>0</v>
      </c>
      <c r="O63" s="74" t="str">
        <f>VLOOKUP($B63,'Standards Crosswalk'!$A:$H,5,FALSE)</f>
        <v>17.1.1</v>
      </c>
      <c r="P63" s="74" t="str">
        <f>VLOOKUP($B63,'Standards Crosswalk'!$A:$H,6,FALSE)</f>
        <v>PR.IP-9</v>
      </c>
      <c r="Q63" s="74" t="str">
        <f>VLOOKUP($B63,'Standards Crosswalk'!$A:$H,7,FALSE)</f>
        <v>3.12.2</v>
      </c>
      <c r="R63" s="74" t="str">
        <f>VLOOKUP($B63,'Standards Crosswalk'!$A:$H,8,FALSE)</f>
        <v>AU-7, AU-9, IR-4, AC-5, CP-4, CP-10; NIST SP 800-34</v>
      </c>
      <c r="S63" s="74">
        <f>VLOOKUP($B63,'Standards Crosswalk'!$A:$I,9,FALSE)</f>
        <v>0</v>
      </c>
    </row>
    <row r="64" spans="1:19" ht="43.5" thickBot="1" x14ac:dyDescent="0.25">
      <c r="A64" s="73">
        <f t="shared" si="1"/>
        <v>62</v>
      </c>
      <c r="B64" s="79" t="s">
        <v>235</v>
      </c>
      <c r="C64" s="80" t="str">
        <f>VLOOKUP(B64,HECVAT!A:E,2,FALSE)</f>
        <v>May the Institution review your BCP and supporting documentation?</v>
      </c>
      <c r="D64" s="73">
        <f>VLOOKUP(B64,HECVAT!A:E,4,FALSE)</f>
        <v>0</v>
      </c>
      <c r="E64" s="81" t="b">
        <f>IF(Table1[[#This Row],[Column11]]&gt;20,TRUE,FALSE)</f>
        <v>0</v>
      </c>
      <c r="F64" s="81" t="s">
        <v>2049</v>
      </c>
      <c r="G64" s="82" t="s">
        <v>17</v>
      </c>
      <c r="H64" s="83">
        <v>1</v>
      </c>
      <c r="I64" s="73">
        <f>VLOOKUP(B64,HECVAT!A:E,3,FALSE)</f>
        <v>0</v>
      </c>
      <c r="J64" s="73">
        <f>IF(Table1[[#This Row],[Column7]]=Table1[[#This Row],[Column9]],1,0)</f>
        <v>0</v>
      </c>
      <c r="K64" s="73">
        <f>IF(Table1[[#This Row],[Column8]]=1,20,"")</f>
        <v>20</v>
      </c>
      <c r="L64" s="73">
        <f>IF(Table1[[#This Row],[Column8]]=1,J64*K64,"")</f>
        <v>0</v>
      </c>
      <c r="M64" s="74" t="str">
        <f>VLOOKUP($B64,'Standards Crosswalk'!$A:$H,3,FALSE)</f>
        <v>CSC 10</v>
      </c>
      <c r="N64" s="74">
        <f>VLOOKUP($B64,'Standards Crosswalk'!$A:$H,4,FALSE)</f>
        <v>0</v>
      </c>
      <c r="O64" s="74">
        <f>VLOOKUP($B64,'Standards Crosswalk'!$A:$H,5,FALSE)</f>
        <v>0</v>
      </c>
      <c r="P64" s="74" t="str">
        <f>VLOOKUP($B64,'Standards Crosswalk'!$A:$H,6,FALSE)</f>
        <v>PR.IP-9</v>
      </c>
      <c r="Q64" s="74" t="str">
        <f>VLOOKUP($B64,'Standards Crosswalk'!$A:$H,7,FALSE)</f>
        <v>3.12.2</v>
      </c>
      <c r="R64" s="74" t="str">
        <f>VLOOKUP($B64,'Standards Crosswalk'!$A:$H,8,FALSE)</f>
        <v>AC-5, CP-4, CP-10; NIST SP 800-34</v>
      </c>
      <c r="S64" s="74">
        <f>VLOOKUP($B64,'Standards Crosswalk'!$A:$I,9,FALSE)</f>
        <v>0</v>
      </c>
    </row>
    <row r="65" spans="1:19" ht="57.75" thickBot="1" x14ac:dyDescent="0.25">
      <c r="A65" s="73">
        <f t="shared" si="1"/>
        <v>63</v>
      </c>
      <c r="B65" s="79" t="s">
        <v>236</v>
      </c>
      <c r="C65" s="80" t="str">
        <f>VLOOKUP(B65,HECVAT!A:E,2,FALSE)</f>
        <v>Is an owner assigned who is responsible for the maintenance and review of the Business Continuity Plan?</v>
      </c>
      <c r="D65" s="73">
        <f>VLOOKUP(B65,HECVAT!A:E,4,FALSE)</f>
        <v>0</v>
      </c>
      <c r="E65" s="81" t="b">
        <f>IF(Table1[[#This Row],[Column11]]&gt;20,TRUE,FALSE)</f>
        <v>0</v>
      </c>
      <c r="F65" s="81" t="s">
        <v>2049</v>
      </c>
      <c r="G65" s="82" t="s">
        <v>17</v>
      </c>
      <c r="H65" s="83">
        <v>1</v>
      </c>
      <c r="I65" s="73">
        <f>VLOOKUP(B65,HECVAT!A:E,3,FALSE)</f>
        <v>0</v>
      </c>
      <c r="J65" s="73">
        <f>IF(Table1[[#This Row],[Column7]]=Table1[[#This Row],[Column9]],1,0)</f>
        <v>0</v>
      </c>
      <c r="K65" s="73">
        <f>IF(Table1[[#This Row],[Column8]]=1,20,"")</f>
        <v>20</v>
      </c>
      <c r="L65" s="73">
        <f>IF(Table1[[#This Row],[Column8]]=1,J65*K65,"")</f>
        <v>0</v>
      </c>
      <c r="M65" s="74" t="str">
        <f>VLOOKUP($B65,'Standards Crosswalk'!$A:$H,3,FALSE)</f>
        <v>CSC 10</v>
      </c>
      <c r="N65" s="74">
        <f>VLOOKUP($B65,'Standards Crosswalk'!$A:$H,4,FALSE)</f>
        <v>0</v>
      </c>
      <c r="O65" s="74" t="str">
        <f>VLOOKUP($B65,'Standards Crosswalk'!$A:$H,5,FALSE)</f>
        <v>17.1.1</v>
      </c>
      <c r="P65" s="74" t="str">
        <f>VLOOKUP($B65,'Standards Crosswalk'!$A:$H,6,FALSE)</f>
        <v>PR.IP-9</v>
      </c>
      <c r="Q65" s="74" t="str">
        <f>VLOOKUP($B65,'Standards Crosswalk'!$A:$H,7,FALSE)</f>
        <v>3.12.2</v>
      </c>
      <c r="R65" s="74" t="str">
        <f>VLOOKUP($B65,'Standards Crosswalk'!$A:$H,8,FALSE)</f>
        <v>AU-7, AU-9, IR-4, AC-5, CP-4, CP-10; NIST SP 800-34</v>
      </c>
      <c r="S65" s="74">
        <f>VLOOKUP($B65,'Standards Crosswalk'!$A:$I,9,FALSE)</f>
        <v>0</v>
      </c>
    </row>
    <row r="66" spans="1:19" ht="57.75" thickBot="1" x14ac:dyDescent="0.25">
      <c r="A66" s="73">
        <f t="shared" si="1"/>
        <v>64</v>
      </c>
      <c r="B66" s="79" t="s">
        <v>237</v>
      </c>
      <c r="C66" s="80" t="str">
        <f>VLOOKUP(B66,HECVAT!A:E,2,FALSE)</f>
        <v>Is there a defined problem/issue escalation plan in your BCP for impacted clients?</v>
      </c>
      <c r="D66" s="73">
        <f>VLOOKUP(B66,HECVAT!A:E,4,FALSE)</f>
        <v>0</v>
      </c>
      <c r="E66" s="81" t="b">
        <f>IF(Table1[[#This Row],[Column11]]&gt;20,TRUE,FALSE)</f>
        <v>0</v>
      </c>
      <c r="F66" s="81" t="s">
        <v>2049</v>
      </c>
      <c r="G66" s="82" t="s">
        <v>17</v>
      </c>
      <c r="H66" s="83">
        <v>1</v>
      </c>
      <c r="I66" s="73">
        <f>VLOOKUP(B66,HECVAT!A:E,3,FALSE)</f>
        <v>0</v>
      </c>
      <c r="J66" s="73">
        <f>IF(Table1[[#This Row],[Column7]]=Table1[[#This Row],[Column9]],1,0)</f>
        <v>0</v>
      </c>
      <c r="K66" s="73">
        <f>IF(Table1[[#This Row],[Column8]]=1,20,"")</f>
        <v>20</v>
      </c>
      <c r="L66" s="73">
        <f>IF(Table1[[#This Row],[Column8]]=1,J66*K66,"")</f>
        <v>0</v>
      </c>
      <c r="M66" s="74" t="str">
        <f>VLOOKUP($B66,'Standards Crosswalk'!$A:$H,3,FALSE)</f>
        <v>CSC 10</v>
      </c>
      <c r="N66" s="74">
        <f>VLOOKUP($B66,'Standards Crosswalk'!$A:$H,4,FALSE)</f>
        <v>0</v>
      </c>
      <c r="O66" s="74" t="str">
        <f>VLOOKUP($B66,'Standards Crosswalk'!$A:$H,5,FALSE)</f>
        <v>17</v>
      </c>
      <c r="P66" s="74" t="str">
        <f>VLOOKUP($B66,'Standards Crosswalk'!$A:$H,6,FALSE)</f>
        <v>PR.IP-9</v>
      </c>
      <c r="Q66" s="74" t="str">
        <f>VLOOKUP($B66,'Standards Crosswalk'!$A:$H,7,FALSE)</f>
        <v>3.12.2</v>
      </c>
      <c r="R66" s="74" t="str">
        <f>VLOOKUP($B66,'Standards Crosswalk'!$A:$H,8,FALSE)</f>
        <v>AU-7, AU-9, IR-4, AC-5, CP-4, CP-10; NIST SP 800-34</v>
      </c>
      <c r="S66" s="74">
        <f>VLOOKUP($B66,'Standards Crosswalk'!$A:$I,9,FALSE)</f>
        <v>0</v>
      </c>
    </row>
    <row r="67" spans="1:19" ht="57.75" thickBot="1" x14ac:dyDescent="0.25">
      <c r="A67" s="73">
        <f t="shared" si="1"/>
        <v>65</v>
      </c>
      <c r="B67" s="79" t="s">
        <v>238</v>
      </c>
      <c r="C67" s="80" t="str">
        <f>VLOOKUP(B67,HECVAT!A:E,2,FALSE)</f>
        <v>Is there a documented communication plan in your BCP for impacted clients?</v>
      </c>
      <c r="D67" s="73">
        <f>VLOOKUP(B67,HECVAT!A:E,4,FALSE)</f>
        <v>0</v>
      </c>
      <c r="E67" s="81" t="b">
        <f>IF(Table1[[#This Row],[Column11]]&gt;20,TRUE,FALSE)</f>
        <v>0</v>
      </c>
      <c r="F67" s="81" t="s">
        <v>2049</v>
      </c>
      <c r="G67" s="82" t="s">
        <v>17</v>
      </c>
      <c r="H67" s="83">
        <v>1</v>
      </c>
      <c r="I67" s="73">
        <f>VLOOKUP(B67,HECVAT!A:E,3,FALSE)</f>
        <v>0</v>
      </c>
      <c r="J67" s="73">
        <f>IF(Table1[[#This Row],[Column7]]=Table1[[#This Row],[Column9]],1,0)</f>
        <v>0</v>
      </c>
      <c r="K67" s="73">
        <f>IF(Table1[[#This Row],[Column8]]=1,20,"")</f>
        <v>20</v>
      </c>
      <c r="L67" s="73">
        <f>IF(Table1[[#This Row],[Column8]]=1,J67*K67,"")</f>
        <v>0</v>
      </c>
      <c r="M67" s="74" t="str">
        <f>VLOOKUP($B67,'Standards Crosswalk'!$A:$H,3,FALSE)</f>
        <v>CSC 10</v>
      </c>
      <c r="N67" s="74">
        <f>VLOOKUP($B67,'Standards Crosswalk'!$A:$H,4,FALSE)</f>
        <v>0</v>
      </c>
      <c r="O67" s="74" t="str">
        <f>VLOOKUP($B67,'Standards Crosswalk'!$A:$H,5,FALSE)</f>
        <v>17.1.2</v>
      </c>
      <c r="P67" s="74" t="str">
        <f>VLOOKUP($B67,'Standards Crosswalk'!$A:$H,6,FALSE)</f>
        <v>PR.IP-9</v>
      </c>
      <c r="Q67" s="74" t="str">
        <f>VLOOKUP($B67,'Standards Crosswalk'!$A:$H,7,FALSE)</f>
        <v>3.12.2</v>
      </c>
      <c r="R67" s="74" t="str">
        <f>VLOOKUP($B67,'Standards Crosswalk'!$A:$H,8,FALSE)</f>
        <v>AU-7, AU-9, IR-4, AC-5, CP-4, CP-10; NIST SP 800-34</v>
      </c>
      <c r="S67" s="74">
        <f>VLOOKUP($B67,'Standards Crosswalk'!$A:$I,9,FALSE)</f>
        <v>0</v>
      </c>
    </row>
    <row r="68" spans="1:19" ht="57.75" thickBot="1" x14ac:dyDescent="0.25">
      <c r="A68" s="73">
        <f t="shared" ref="A68:A131" si="4">A67+1</f>
        <v>66</v>
      </c>
      <c r="B68" s="79" t="s">
        <v>239</v>
      </c>
      <c r="C68" s="80" t="str">
        <f>VLOOKUP(B68,HECVAT!A:E,2,FALSE)</f>
        <v xml:space="preserve">Are all components of the BCP reviewed at least annually and updated as needed to reflect change? </v>
      </c>
      <c r="D68" s="73">
        <f>VLOOKUP(B68,HECVAT!A:E,4,FALSE)</f>
        <v>0</v>
      </c>
      <c r="E68" s="81" t="b">
        <f>IF(Table1[[#This Row],[Column11]]&gt;20,TRUE,FALSE)</f>
        <v>1</v>
      </c>
      <c r="F68" s="81" t="s">
        <v>2049</v>
      </c>
      <c r="G68" s="82" t="s">
        <v>17</v>
      </c>
      <c r="H68" s="83">
        <v>1</v>
      </c>
      <c r="I68" s="73">
        <f>VLOOKUP(B68,HECVAT!A:E,3,FALSE)</f>
        <v>0</v>
      </c>
      <c r="J68" s="73">
        <f>IF(Table1[[#This Row],[Column7]]=Table1[[#This Row],[Column9]],1,0)</f>
        <v>0</v>
      </c>
      <c r="K68" s="73">
        <f>IF(Table1[[#This Row],[Column8]]=1,25,"")</f>
        <v>25</v>
      </c>
      <c r="L68" s="73">
        <f>IF(Table1[[#This Row],[Column8]]=1,J68*K68,"")</f>
        <v>0</v>
      </c>
      <c r="M68" s="74" t="str">
        <f>VLOOKUP($B68,'Standards Crosswalk'!$A:$H,3,FALSE)</f>
        <v>CSC 10</v>
      </c>
      <c r="N68" s="74">
        <f>VLOOKUP($B68,'Standards Crosswalk'!$A:$H,4,FALSE)</f>
        <v>0</v>
      </c>
      <c r="O68" s="74" t="str">
        <f>VLOOKUP($B68,'Standards Crosswalk'!$A:$H,5,FALSE)</f>
        <v>17.1.2</v>
      </c>
      <c r="P68" s="74" t="str">
        <f>VLOOKUP($B68,'Standards Crosswalk'!$A:$H,6,FALSE)</f>
        <v>PR.IP-9</v>
      </c>
      <c r="Q68" s="74" t="str">
        <f>VLOOKUP($B68,'Standards Crosswalk'!$A:$H,7,FALSE)</f>
        <v>3.12.2</v>
      </c>
      <c r="R68" s="74" t="str">
        <f>VLOOKUP($B68,'Standards Crosswalk'!$A:$H,8,FALSE)</f>
        <v>AU-7, AU-9, IR-4, AC-5, CP-4, CP-10; NIST SP 800-34</v>
      </c>
      <c r="S68" s="74">
        <f>VLOOKUP($B68,'Standards Crosswalk'!$A:$I,9,FALSE)</f>
        <v>0</v>
      </c>
    </row>
    <row r="69" spans="1:19" ht="57.75" thickBot="1" x14ac:dyDescent="0.25">
      <c r="A69" s="73">
        <f t="shared" si="4"/>
        <v>67</v>
      </c>
      <c r="B69" s="79" t="s">
        <v>240</v>
      </c>
      <c r="C69" s="80" t="str">
        <f>VLOOKUP(B69,HECVAT!A:E,2,FALSE)</f>
        <v xml:space="preserve">Has your BCP been tested in the last year? </v>
      </c>
      <c r="D69" s="73">
        <f>VLOOKUP(B69,HECVAT!A:E,4,FALSE)</f>
        <v>0</v>
      </c>
      <c r="E69" s="81" t="b">
        <f>IF(Table1[[#This Row],[Column11]]&gt;20,TRUE,FALSE)</f>
        <v>1</v>
      </c>
      <c r="F69" s="81" t="s">
        <v>2049</v>
      </c>
      <c r="G69" s="82" t="s">
        <v>17</v>
      </c>
      <c r="H69" s="83">
        <v>1</v>
      </c>
      <c r="I69" s="73">
        <f>VLOOKUP(B69,HECVAT!A:E,3,FALSE)</f>
        <v>0</v>
      </c>
      <c r="J69" s="73">
        <f>IF(Table1[[#This Row],[Column7]]=Table1[[#This Row],[Column9]],1,0)</f>
        <v>0</v>
      </c>
      <c r="K69" s="73">
        <f>IF(Table1[[#This Row],[Column8]]=1,25,"")</f>
        <v>25</v>
      </c>
      <c r="L69" s="73">
        <f>IF(Table1[[#This Row],[Column8]]=1,J69*K69,"")</f>
        <v>0</v>
      </c>
      <c r="M69" s="74" t="str">
        <f>VLOOKUP($B69,'Standards Crosswalk'!$A:$H,3,FALSE)</f>
        <v>CSC 10</v>
      </c>
      <c r="N69" s="74">
        <f>VLOOKUP($B69,'Standards Crosswalk'!$A:$H,4,FALSE)</f>
        <v>0</v>
      </c>
      <c r="O69" s="74" t="str">
        <f>VLOOKUP($B69,'Standards Crosswalk'!$A:$H,5,FALSE)</f>
        <v>17.1.3</v>
      </c>
      <c r="P69" s="74" t="str">
        <f>VLOOKUP($B69,'Standards Crosswalk'!$A:$H,6,FALSE)</f>
        <v>PR.IP-9</v>
      </c>
      <c r="Q69" s="74" t="str">
        <f>VLOOKUP($B69,'Standards Crosswalk'!$A:$H,7,FALSE)</f>
        <v>3.12.2</v>
      </c>
      <c r="R69" s="74" t="str">
        <f>VLOOKUP($B69,'Standards Crosswalk'!$A:$H,8,FALSE)</f>
        <v>AU-7, AU-9, IR-4, AC-5, CP-4, CP-10; NIST SP 800-34</v>
      </c>
      <c r="S69" s="74">
        <f>VLOOKUP($B69,'Standards Crosswalk'!$A:$I,9,FALSE)</f>
        <v>0</v>
      </c>
    </row>
    <row r="70" spans="1:19" ht="72" thickBot="1" x14ac:dyDescent="0.25">
      <c r="A70" s="73">
        <f t="shared" si="4"/>
        <v>68</v>
      </c>
      <c r="B70" s="79" t="s">
        <v>241</v>
      </c>
      <c r="C70" s="80" t="str">
        <f>VLOOKUP(B70,HECVAT!A:E,2,FALSE)</f>
        <v>Does your organization conduct training and awareness activities to validate its employees understanding of their roles and responsibilities during a crisis?</v>
      </c>
      <c r="D70" s="73">
        <f>VLOOKUP(B70,HECVAT!A:E,4,FALSE)</f>
        <v>0</v>
      </c>
      <c r="E70" s="81" t="b">
        <f>IF(Table1[[#This Row],[Column11]]&gt;20,TRUE,FALSE)</f>
        <v>0</v>
      </c>
      <c r="F70" s="81" t="s">
        <v>2049</v>
      </c>
      <c r="G70" s="82" t="s">
        <v>17</v>
      </c>
      <c r="H70" s="83">
        <v>1</v>
      </c>
      <c r="I70" s="73">
        <f>VLOOKUP(B70,HECVAT!A:E,3,FALSE)</f>
        <v>0</v>
      </c>
      <c r="J70" s="73">
        <f>IF(Table1[[#This Row],[Column7]]=Table1[[#This Row],[Column9]],1,0)</f>
        <v>0</v>
      </c>
      <c r="K70" s="73">
        <f>IF(Table1[[#This Row],[Column8]]=1,20,"")</f>
        <v>20</v>
      </c>
      <c r="L70" s="73">
        <f>IF(Table1[[#This Row],[Column8]]=1,J70*K70,"")</f>
        <v>0</v>
      </c>
      <c r="M70" s="74" t="str">
        <f>VLOOKUP($B70,'Standards Crosswalk'!$A:$H,3,FALSE)</f>
        <v>CSC 10</v>
      </c>
      <c r="N70" s="74">
        <f>VLOOKUP($B70,'Standards Crosswalk'!$A:$H,4,FALSE)</f>
        <v>0</v>
      </c>
      <c r="O70" s="74" t="str">
        <f>VLOOKUP($B70,'Standards Crosswalk'!$A:$H,5,FALSE)</f>
        <v>7.2.2, 17.1.3</v>
      </c>
      <c r="P70" s="74" t="str">
        <f>VLOOKUP($B70,'Standards Crosswalk'!$A:$H,6,FALSE)</f>
        <v>PR.IP-9</v>
      </c>
      <c r="Q70" s="74" t="str">
        <f>VLOOKUP($B70,'Standards Crosswalk'!$A:$H,7,FALSE)</f>
        <v>3.2.1, 3.2.2</v>
      </c>
      <c r="R70" s="74" t="str">
        <f>VLOOKUP($B70,'Standards Crosswalk'!$A:$H,8,FALSE)</f>
        <v>AT-3, AC-5, CP-4, CP-10; NIST SP 800-34</v>
      </c>
      <c r="S70" s="74" t="str">
        <f>VLOOKUP($B70,'Standards Crosswalk'!$A:$I,9,FALSE)</f>
        <v>12.x</v>
      </c>
    </row>
    <row r="71" spans="1:19" ht="43.5" thickBot="1" x14ac:dyDescent="0.25">
      <c r="A71" s="73">
        <f t="shared" si="4"/>
        <v>69</v>
      </c>
      <c r="B71" s="79" t="s">
        <v>242</v>
      </c>
      <c r="C71" s="80" t="str">
        <f>VLOOKUP(B71,HECVAT!A:E,2,FALSE)</f>
        <v>Are specific crisis management roles and responsibilities defined and documented?</v>
      </c>
      <c r="D71" s="73">
        <f>VLOOKUP(B71,HECVAT!A:E,4,FALSE)</f>
        <v>0</v>
      </c>
      <c r="E71" s="81" t="b">
        <f>IF(Table1[[#This Row],[Column11]]&gt;20,TRUE,FALSE)</f>
        <v>0</v>
      </c>
      <c r="F71" s="81" t="s">
        <v>2049</v>
      </c>
      <c r="G71" s="82" t="s">
        <v>17</v>
      </c>
      <c r="H71" s="83">
        <v>1</v>
      </c>
      <c r="I71" s="73">
        <f>VLOOKUP(B71,HECVAT!A:E,3,FALSE)</f>
        <v>0</v>
      </c>
      <c r="J71" s="73">
        <f>IF(Table1[[#This Row],[Column7]]=Table1[[#This Row],[Column9]],1,0)</f>
        <v>0</v>
      </c>
      <c r="K71" s="73">
        <f>IF(Table1[[#This Row],[Column8]]=1,20,"")</f>
        <v>20</v>
      </c>
      <c r="L71" s="73">
        <f>IF(Table1[[#This Row],[Column8]]=1,J71*K71,"")</f>
        <v>0</v>
      </c>
      <c r="M71" s="74" t="str">
        <f>VLOOKUP($B71,'Standards Crosswalk'!$A:$H,3,FALSE)</f>
        <v>CSC 10</v>
      </c>
      <c r="N71" s="74">
        <f>VLOOKUP($B71,'Standards Crosswalk'!$A:$H,4,FALSE)</f>
        <v>0</v>
      </c>
      <c r="O71" s="74" t="str">
        <f>VLOOKUP($B71,'Standards Crosswalk'!$A:$H,5,FALSE)</f>
        <v>7.2.2, 16.1.1, 17.1.3</v>
      </c>
      <c r="P71" s="74" t="str">
        <f>VLOOKUP($B71,'Standards Crosswalk'!$A:$H,6,FALSE)</f>
        <v>PR.IP-9</v>
      </c>
      <c r="Q71" s="74">
        <f>VLOOKUP($B71,'Standards Crosswalk'!$A:$H,7,FALSE)</f>
        <v>0</v>
      </c>
      <c r="R71" s="74" t="str">
        <f>VLOOKUP($B71,'Standards Crosswalk'!$A:$H,8,FALSE)</f>
        <v>AC-5, CP-4, CP-10; NIST SP 800-34</v>
      </c>
      <c r="S71" s="74" t="str">
        <f>VLOOKUP($B71,'Standards Crosswalk'!$A:$I,9,FALSE)</f>
        <v>12.x</v>
      </c>
    </row>
    <row r="72" spans="1:19" ht="57.75" thickBot="1" x14ac:dyDescent="0.25">
      <c r="A72" s="73">
        <f t="shared" si="4"/>
        <v>70</v>
      </c>
      <c r="B72" s="79" t="s">
        <v>243</v>
      </c>
      <c r="C72" s="80" t="str">
        <f>VLOOKUP(B72,HECVAT!A:E,2,FALSE)</f>
        <v>Does your organization have an alternative business site or a contracted Business Recovery provider?</v>
      </c>
      <c r="D72" s="73">
        <f>VLOOKUP(B72,HECVAT!A:E,4,FALSE)</f>
        <v>0</v>
      </c>
      <c r="E72" s="81" t="b">
        <f>IF(Table1[[#This Row],[Column11]]&gt;20,TRUE,FALSE)</f>
        <v>0</v>
      </c>
      <c r="F72" s="81" t="s">
        <v>2049</v>
      </c>
      <c r="G72" s="82" t="s">
        <v>17</v>
      </c>
      <c r="H72" s="83">
        <v>1</v>
      </c>
      <c r="I72" s="73">
        <f>VLOOKUP(B72,HECVAT!A:E,3,FALSE)</f>
        <v>0</v>
      </c>
      <c r="J72" s="73">
        <f>IF(Table1[[#This Row],[Column7]]=Table1[[#This Row],[Column9]],1,0)</f>
        <v>0</v>
      </c>
      <c r="K72" s="73">
        <f>IF(Table1[[#This Row],[Column8]]=1,20,"")</f>
        <v>20</v>
      </c>
      <c r="L72" s="73">
        <f>IF(Table1[[#This Row],[Column8]]=1,J72*K72,"")</f>
        <v>0</v>
      </c>
      <c r="M72" s="74" t="str">
        <f>VLOOKUP($B72,'Standards Crosswalk'!$A:$H,3,FALSE)</f>
        <v>CSC 10</v>
      </c>
      <c r="N72" s="74">
        <f>VLOOKUP($B72,'Standards Crosswalk'!$A:$H,4,FALSE)</f>
        <v>0</v>
      </c>
      <c r="O72" s="74" t="str">
        <f>VLOOKUP($B72,'Standards Crosswalk'!$A:$H,5,FALSE)</f>
        <v>17.2.1</v>
      </c>
      <c r="P72" s="74" t="str">
        <f>VLOOKUP($B72,'Standards Crosswalk'!$A:$H,6,FALSE)</f>
        <v>PR.IP-9</v>
      </c>
      <c r="Q72" s="74">
        <f>VLOOKUP($B72,'Standards Crosswalk'!$A:$H,7,FALSE)</f>
        <v>0</v>
      </c>
      <c r="R72" s="74" t="str">
        <f>VLOOKUP($B72,'Standards Crosswalk'!$A:$H,8,FALSE)</f>
        <v>AC-5, CP-4, CP-10; NIST SP 800-34</v>
      </c>
      <c r="S72" s="74">
        <f>VLOOKUP($B72,'Standards Crosswalk'!$A:$I,9,FALSE)</f>
        <v>12.1</v>
      </c>
    </row>
    <row r="73" spans="1:19" ht="57.75" thickBot="1" x14ac:dyDescent="0.25">
      <c r="A73" s="73">
        <f t="shared" si="4"/>
        <v>71</v>
      </c>
      <c r="B73" s="79" t="s">
        <v>244</v>
      </c>
      <c r="C73" s="80" t="str">
        <f>VLOOKUP(B73,HECVAT!A:E,2,FALSE)</f>
        <v>Does your organization conduct an annual test of relocating to an alternate site for business recovery purposes?</v>
      </c>
      <c r="D73" s="73">
        <f>VLOOKUP(B73,HECVAT!A:E,4,FALSE)</f>
        <v>0</v>
      </c>
      <c r="E73" s="81" t="b">
        <f>IF(Table1[[#This Row],[Column11]]&gt;20,TRUE,FALSE)</f>
        <v>0</v>
      </c>
      <c r="F73" s="81" t="s">
        <v>2049</v>
      </c>
      <c r="G73" s="82" t="s">
        <v>17</v>
      </c>
      <c r="H73" s="83">
        <f>IF(I72="Yes",1,0)</f>
        <v>0</v>
      </c>
      <c r="I73" s="73">
        <f>VLOOKUP(B73,HECVAT!A:E,3,FALSE)</f>
        <v>0</v>
      </c>
      <c r="J73" s="73">
        <f>IF(Table1[[#This Row],[Column7]]=Table1[[#This Row],[Column9]],1,0)</f>
        <v>0</v>
      </c>
      <c r="K73" s="73">
        <v>20</v>
      </c>
      <c r="L73" s="73" t="str">
        <f>IF(Table1[[#This Row],[Column8]]=1,J73*K73,"")</f>
        <v/>
      </c>
      <c r="M73" s="74" t="str">
        <f>VLOOKUP($B73,'Standards Crosswalk'!$A:$H,3,FALSE)</f>
        <v>CSC 10</v>
      </c>
      <c r="N73" s="74">
        <f>VLOOKUP($B73,'Standards Crosswalk'!$A:$H,4,FALSE)</f>
        <v>0</v>
      </c>
      <c r="O73" s="74" t="str">
        <f>VLOOKUP($B73,'Standards Crosswalk'!$A:$H,5,FALSE)</f>
        <v>17.1.3</v>
      </c>
      <c r="P73" s="74" t="str">
        <f>VLOOKUP($B73,'Standards Crosswalk'!$A:$H,6,FALSE)</f>
        <v>PR.IP-9</v>
      </c>
      <c r="Q73" s="74">
        <f>VLOOKUP($B73,'Standards Crosswalk'!$A:$H,7,FALSE)</f>
        <v>0</v>
      </c>
      <c r="R73" s="74" t="str">
        <f>VLOOKUP($B73,'Standards Crosswalk'!$A:$H,8,FALSE)</f>
        <v>AC-5, CP-4, CP-10; NIST SP 800-34</v>
      </c>
      <c r="S73" s="74">
        <f>VLOOKUP($B73,'Standards Crosswalk'!$A:$I,9,FALSE)</f>
        <v>12.1</v>
      </c>
    </row>
    <row r="74" spans="1:19" ht="57.75" thickBot="1" x14ac:dyDescent="0.25">
      <c r="A74" s="73">
        <f t="shared" si="4"/>
        <v>72</v>
      </c>
      <c r="B74" s="79" t="s">
        <v>245</v>
      </c>
      <c r="C74" s="80" t="str">
        <f>VLOOKUP(B74,HECVAT!A:E,2,FALSE)</f>
        <v>Is this product a core service of your organization, and as such, the top priority during business continuity planning?</v>
      </c>
      <c r="D74" s="73">
        <f>VLOOKUP(B74,HECVAT!A:E,4,FALSE)</f>
        <v>0</v>
      </c>
      <c r="E74" s="81" t="b">
        <f>IF(Table1[[#This Row],[Column11]]&gt;20,TRUE,FALSE)</f>
        <v>0</v>
      </c>
      <c r="F74" s="81" t="s">
        <v>2049</v>
      </c>
      <c r="G74" s="82" t="s">
        <v>17</v>
      </c>
      <c r="H74" s="83">
        <v>1</v>
      </c>
      <c r="I74" s="73">
        <f>VLOOKUP(B74,HECVAT!A:E,3,FALSE)</f>
        <v>0</v>
      </c>
      <c r="J74" s="73">
        <f>IF(Table1[[#This Row],[Column7]]=Table1[[#This Row],[Column9]],1,0)</f>
        <v>0</v>
      </c>
      <c r="K74" s="73">
        <f>IF(Table1[[#This Row],[Column8]]=1,15,"")</f>
        <v>15</v>
      </c>
      <c r="L74" s="73">
        <f>IF(Table1[[#This Row],[Column8]]=1,J74*K74,"")</f>
        <v>0</v>
      </c>
      <c r="M74" s="74" t="str">
        <f>VLOOKUP($B74,'Standards Crosswalk'!$A:$H,3,FALSE)</f>
        <v>CSC 10</v>
      </c>
      <c r="N74" s="74">
        <f>VLOOKUP($B74,'Standards Crosswalk'!$A:$H,4,FALSE)</f>
        <v>0</v>
      </c>
      <c r="O74" s="74">
        <f>VLOOKUP($B74,'Standards Crosswalk'!$A:$H,5,FALSE)</f>
        <v>0</v>
      </c>
      <c r="P74" s="74" t="str">
        <f>VLOOKUP($B74,'Standards Crosswalk'!$A:$H,6,FALSE)</f>
        <v>PR.IP-9</v>
      </c>
      <c r="Q74" s="74">
        <f>VLOOKUP($B74,'Standards Crosswalk'!$A:$H,7,FALSE)</f>
        <v>0</v>
      </c>
      <c r="R74" s="74" t="str">
        <f>VLOOKUP($B74,'Standards Crosswalk'!$A:$H,8,FALSE)</f>
        <v>AC-5, CP-4, CP-10; NIST SP 800-34</v>
      </c>
      <c r="S74" s="74">
        <f>VLOOKUP($B74,'Standards Crosswalk'!$A:$I,9,FALSE)</f>
        <v>12.1</v>
      </c>
    </row>
    <row r="75" spans="1:19" ht="43.5" thickBot="1" x14ac:dyDescent="0.25">
      <c r="A75" s="73">
        <f t="shared" si="4"/>
        <v>73</v>
      </c>
      <c r="B75" s="79" t="s">
        <v>246</v>
      </c>
      <c r="C75" s="80" t="str">
        <f>VLOOKUP(B75,HECVAT!A:E,2,FALSE)</f>
        <v xml:space="preserve">Do you have a documented and currently followed change management process (CMP)? </v>
      </c>
      <c r="D75" s="73">
        <f>VLOOKUP(B75,HECVAT!A:E,4,FALSE)</f>
        <v>0</v>
      </c>
      <c r="E75" s="81" t="b">
        <f>IF(Table1[[#This Row],[Column11]]&gt;20,TRUE,FALSE)</f>
        <v>1</v>
      </c>
      <c r="F75" s="81" t="s">
        <v>2050</v>
      </c>
      <c r="G75" s="82" t="s">
        <v>17</v>
      </c>
      <c r="H75" s="83">
        <v>1</v>
      </c>
      <c r="I75" s="73">
        <f>VLOOKUP(B75,HECVAT!A:E,3,FALSE)</f>
        <v>0</v>
      </c>
      <c r="J75" s="73">
        <f>IF(Table1[[#This Row],[Column7]]=Table1[[#This Row],[Column9]],1,0)</f>
        <v>0</v>
      </c>
      <c r="K75" s="73">
        <f>IF(Table1[[#This Row],[Column8]]=1,25,"")</f>
        <v>25</v>
      </c>
      <c r="L75" s="73">
        <f>IF(Table1[[#This Row],[Column8]]=1,J75*K75,"")</f>
        <v>0</v>
      </c>
      <c r="M75" s="74" t="str">
        <f>VLOOKUP($B75,'Standards Crosswalk'!$A:$H,3,FALSE)</f>
        <v>CSC 10</v>
      </c>
      <c r="N75" s="74">
        <f>VLOOKUP($B75,'Standards Crosswalk'!$A:$H,4,FALSE)</f>
        <v>0</v>
      </c>
      <c r="O75" s="74" t="str">
        <f>VLOOKUP($B75,'Standards Crosswalk'!$A:$H,5,FALSE)</f>
        <v>12.1.2</v>
      </c>
      <c r="P75" s="74" t="str">
        <f>VLOOKUP($B75,'Standards Crosswalk'!$A:$H,6,FALSE)</f>
        <v>PR.IP-3</v>
      </c>
      <c r="Q75" s="74" t="str">
        <f>VLOOKUP($B75,'Standards Crosswalk'!$A:$H,7,FALSE)</f>
        <v>3.4.3, 3.4.4</v>
      </c>
      <c r="R75" s="74" t="str">
        <f>VLOOKUP($B75,'Standards Crosswalk'!$A:$H,8,FALSE)</f>
        <v>CM-3, CM-4, CM-5</v>
      </c>
      <c r="S75" s="74" t="str">
        <f>VLOOKUP($B75,'Standards Crosswalk'!$A:$I,9,FALSE)</f>
        <v>6.4, 6.4.5, 6.4.5.1, 6.4.5.2</v>
      </c>
    </row>
    <row r="76" spans="1:19" ht="143.25" thickBot="1" x14ac:dyDescent="0.25">
      <c r="A76" s="73">
        <f t="shared" si="4"/>
        <v>74</v>
      </c>
      <c r="B76" s="79" t="s">
        <v>247</v>
      </c>
      <c r="C76" s="80" t="str">
        <f>VLOOKUP(B76,HECVAT!A:E,2,FALSE)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73">
        <f>VLOOKUP(B76,HECVAT!A:E,4,FALSE)</f>
        <v>0</v>
      </c>
      <c r="E76" s="81" t="b">
        <f>IF(Table1[[#This Row],[Column11]]&gt;20,TRUE,FALSE)</f>
        <v>0</v>
      </c>
      <c r="F76" s="81" t="s">
        <v>2050</v>
      </c>
      <c r="G76" s="82" t="s">
        <v>17</v>
      </c>
      <c r="H76" s="83">
        <v>1</v>
      </c>
      <c r="I76" s="73">
        <f>VLOOKUP(B76,HECVAT!A:E,3,FALSE)</f>
        <v>0</v>
      </c>
      <c r="J76" s="73">
        <f>IF(VLOOKUP(Table1[[#This Row],[Column2]],'Analyst Report'!$A$41:$G$88,7,FALSE)="Yes",1,0)</f>
        <v>0</v>
      </c>
      <c r="K76" s="73">
        <f>IF(Table1[[#This Row],[Column8]]=1,20,"")</f>
        <v>20</v>
      </c>
      <c r="L76" s="73">
        <f>IF(Table1[[#This Row],[Column8]]=1,J76*K76,"")</f>
        <v>0</v>
      </c>
      <c r="M76" s="74" t="str">
        <f>VLOOKUP($B76,'Standards Crosswalk'!$A:$H,3,FALSE)</f>
        <v>CSC 10</v>
      </c>
      <c r="N76" s="74">
        <f>VLOOKUP($B76,'Standards Crosswalk'!$A:$H,4,FALSE)</f>
        <v>0</v>
      </c>
      <c r="O76" s="74" t="str">
        <f>VLOOKUP($B76,'Standards Crosswalk'!$A:$H,5,FALSE)</f>
        <v>12.1.2</v>
      </c>
      <c r="P76" s="74" t="str">
        <f>VLOOKUP($B76,'Standards Crosswalk'!$A:$H,6,FALSE)</f>
        <v>PR.IP-3, PR.DS-7</v>
      </c>
      <c r="Q76" s="74" t="str">
        <f>VLOOKUP($B76,'Standards Crosswalk'!$A:$H,7,FALSE)</f>
        <v>3.4.3, 3.4.4, 3.4.5</v>
      </c>
      <c r="R76" s="74" t="str">
        <f>VLOOKUP($B76,'Standards Crosswalk'!$A:$H,8,FALSE)</f>
        <v>CM-3, CM-4, CM-5</v>
      </c>
      <c r="S76" s="74" t="str">
        <f>VLOOKUP($B76,'Standards Crosswalk'!$A:$I,9,FALSE)</f>
        <v>6.4, 6.4.5, 6.4.5.1, 6.4.5.2</v>
      </c>
    </row>
    <row r="77" spans="1:19" ht="57.75" thickBot="1" x14ac:dyDescent="0.25">
      <c r="A77" s="73">
        <f t="shared" si="4"/>
        <v>75</v>
      </c>
      <c r="B77" s="79" t="s">
        <v>248</v>
      </c>
      <c r="C77" s="80" t="str">
        <f>VLOOKUP(B77,HECVAT!A:E,2,FALSE)</f>
        <v>Will the Institution be notified of major changes to your environment that could impact the Institution's security posture?</v>
      </c>
      <c r="D77" s="73">
        <f>VLOOKUP(B77,HECVAT!A:E,4,FALSE)</f>
        <v>0</v>
      </c>
      <c r="E77" s="81" t="b">
        <f>IF(Table1[[#This Row],[Column11]]&gt;20,TRUE,FALSE)</f>
        <v>0</v>
      </c>
      <c r="F77" s="81" t="s">
        <v>2050</v>
      </c>
      <c r="G77" s="82" t="s">
        <v>17</v>
      </c>
      <c r="H77" s="83">
        <v>1</v>
      </c>
      <c r="I77" s="73">
        <f>VLOOKUP(B77,HECVAT!A:E,3,FALSE)</f>
        <v>0</v>
      </c>
      <c r="J77" s="73">
        <f>IF(Table1[[#This Row],[Column7]]=Table1[[#This Row],[Column9]],1,0)</f>
        <v>0</v>
      </c>
      <c r="K77" s="73">
        <f>IF(Table1[[#This Row],[Column8]]=1,20,"")</f>
        <v>20</v>
      </c>
      <c r="L77" s="73">
        <f>IF(Table1[[#This Row],[Column8]]=1,J77*K77,"")</f>
        <v>0</v>
      </c>
      <c r="M77" s="74" t="str">
        <f>VLOOKUP($B77,'Standards Crosswalk'!$A:$H,3,FALSE)</f>
        <v>CSC 10</v>
      </c>
      <c r="N77" s="74">
        <f>VLOOKUP($B77,'Standards Crosswalk'!$A:$H,4,FALSE)</f>
        <v>0</v>
      </c>
      <c r="O77" s="74" t="str">
        <f>VLOOKUP($B77,'Standards Crosswalk'!$A:$H,5,FALSE)</f>
        <v>12.1.2</v>
      </c>
      <c r="P77" s="74">
        <f>VLOOKUP($B77,'Standards Crosswalk'!$A:$H,6,FALSE)</f>
        <v>0</v>
      </c>
      <c r="Q77" s="74">
        <f>VLOOKUP($B77,'Standards Crosswalk'!$A:$H,7,FALSE)</f>
        <v>0</v>
      </c>
      <c r="R77" s="74" t="str">
        <f>VLOOKUP($B77,'Standards Crosswalk'!$A:$H,8,FALSE)</f>
        <v>CM-3, CM-4, CM-5</v>
      </c>
      <c r="S77" s="74" t="str">
        <f>VLOOKUP($B77,'Standards Crosswalk'!$A:$I,9,FALSE)</f>
        <v>6.4, 12.8, 12.9</v>
      </c>
    </row>
    <row r="78" spans="1:19" ht="43.5" thickBot="1" x14ac:dyDescent="0.25">
      <c r="A78" s="73">
        <f t="shared" si="4"/>
        <v>76</v>
      </c>
      <c r="B78" s="79" t="s">
        <v>249</v>
      </c>
      <c r="C78" s="80" t="str">
        <f>VLOOKUP(B78,HECVAT!A:E,2,FALSE)</f>
        <v>Do clients have the option to not participate in or postpone an upgrade to a new release?</v>
      </c>
      <c r="D78" s="73">
        <f>VLOOKUP(B78,HECVAT!A:E,4,FALSE)</f>
        <v>0</v>
      </c>
      <c r="E78" s="81" t="b">
        <f>IF(Table1[[#This Row],[Column11]]&gt;20,TRUE,FALSE)</f>
        <v>0</v>
      </c>
      <c r="F78" s="81" t="s">
        <v>2050</v>
      </c>
      <c r="G78" s="82" t="s">
        <v>17</v>
      </c>
      <c r="H78" s="83">
        <v>1</v>
      </c>
      <c r="I78" s="73">
        <f>VLOOKUP(B78,HECVAT!A:E,3,FALSE)</f>
        <v>0</v>
      </c>
      <c r="J78" s="73">
        <f>IF(Table1[[#This Row],[Column7]]=Table1[[#This Row],[Column9]],1,0)</f>
        <v>0</v>
      </c>
      <c r="K78" s="73">
        <f>IF(Table1[[#This Row],[Column8]]=1,20,"")</f>
        <v>20</v>
      </c>
      <c r="L78" s="73">
        <f>IF(Table1[[#This Row],[Column8]]=1,J78*K78,"")</f>
        <v>0</v>
      </c>
      <c r="M78" s="74" t="str">
        <f>VLOOKUP($B78,'Standards Crosswalk'!$A:$H,3,FALSE)</f>
        <v>CSC 10</v>
      </c>
      <c r="N78" s="74">
        <f>VLOOKUP($B78,'Standards Crosswalk'!$A:$H,4,FALSE)</f>
        <v>0</v>
      </c>
      <c r="O78" s="74">
        <f>VLOOKUP($B78,'Standards Crosswalk'!$A:$H,5,FALSE)</f>
        <v>0</v>
      </c>
      <c r="P78" s="74">
        <f>VLOOKUP($B78,'Standards Crosswalk'!$A:$H,6,FALSE)</f>
        <v>0</v>
      </c>
      <c r="Q78" s="74">
        <f>VLOOKUP($B78,'Standards Crosswalk'!$A:$H,7,FALSE)</f>
        <v>0</v>
      </c>
      <c r="R78" s="74" t="str">
        <f>VLOOKUP($B78,'Standards Crosswalk'!$A:$H,8,FALSE)</f>
        <v>CM-3, CM-4, CM-5</v>
      </c>
      <c r="S78" s="74">
        <f>VLOOKUP($B78,'Standards Crosswalk'!$A:$I,9,FALSE)</f>
        <v>12.1</v>
      </c>
    </row>
    <row r="79" spans="1:19" ht="86.25" thickBot="1" x14ac:dyDescent="0.25">
      <c r="A79" s="73">
        <f t="shared" si="4"/>
        <v>77</v>
      </c>
      <c r="B79" s="79" t="s">
        <v>250</v>
      </c>
      <c r="C79" s="80" t="str">
        <f>VLOOKUP(B79,HECVAT!A:E,2,FALSE)</f>
        <v>Describe or provide a reference to your solution support strategy in relation to maintaining software currency. (i.e. how many concurrent versions are you willing to run and support?)</v>
      </c>
      <c r="D79" s="73">
        <f>VLOOKUP(B79,HECVAT!A:E,4,FALSE)</f>
        <v>0</v>
      </c>
      <c r="E79" s="81" t="b">
        <f>IF(Table1[[#This Row],[Column11]]&gt;20,TRUE,FALSE)</f>
        <v>1</v>
      </c>
      <c r="F79" s="81" t="s">
        <v>2050</v>
      </c>
      <c r="G79" s="82" t="s">
        <v>17</v>
      </c>
      <c r="H79" s="83">
        <v>1</v>
      </c>
      <c r="I79" s="73">
        <f>VLOOKUP(B79,HECVAT!A:E,3,FALSE)</f>
        <v>0</v>
      </c>
      <c r="J79" s="73">
        <f>IF(VLOOKUP(Table1[[#This Row],[Column2]],'Analyst Report'!$A$41:$G$88,7,FALSE)="Yes",1,0)</f>
        <v>0</v>
      </c>
      <c r="K79" s="73">
        <f>IF(Table1[[#This Row],[Column8]]=1,25,"")</f>
        <v>25</v>
      </c>
      <c r="L79" s="73">
        <f>IF(Table1[[#This Row],[Column8]]=1,J79*K79,"")</f>
        <v>0</v>
      </c>
      <c r="M79" s="74" t="str">
        <f>VLOOKUP($B79,'Standards Crosswalk'!$A:$H,3,FALSE)</f>
        <v>CSC 2</v>
      </c>
      <c r="N79" s="74">
        <f>VLOOKUP($B79,'Standards Crosswalk'!$A:$H,4,FALSE)</f>
        <v>0</v>
      </c>
      <c r="O79" s="74">
        <f>VLOOKUP($B79,'Standards Crosswalk'!$A:$H,5,FALSE)</f>
        <v>0</v>
      </c>
      <c r="P79" s="74">
        <f>VLOOKUP($B79,'Standards Crosswalk'!$A:$H,6,FALSE)</f>
        <v>0</v>
      </c>
      <c r="Q79" s="74">
        <f>VLOOKUP($B79,'Standards Crosswalk'!$A:$H,7,FALSE)</f>
        <v>0</v>
      </c>
      <c r="R79" s="74" t="str">
        <f>VLOOKUP($B79,'Standards Crosswalk'!$A:$H,8,FALSE)</f>
        <v>CM-3, CM-4, CM-5</v>
      </c>
      <c r="S79" s="74" t="str">
        <f>VLOOKUP($B79,'Standards Crosswalk'!$A:$I,9,FALSE)</f>
        <v>12.1, 12.8</v>
      </c>
    </row>
    <row r="80" spans="1:19" ht="86.25" thickBot="1" x14ac:dyDescent="0.25">
      <c r="A80" s="73">
        <f t="shared" si="4"/>
        <v>78</v>
      </c>
      <c r="B80" s="79" t="s">
        <v>251</v>
      </c>
      <c r="C80" s="80" t="str">
        <f>VLOOKUP(B80,HECVAT!A:E,2,FALSE)</f>
        <v>Identify the most current version of the software. Detail the percentage of live customers that are utilizing the proposed version of the software as well as each version of the software currently in use.</v>
      </c>
      <c r="D80" s="73">
        <f>VLOOKUP(B80,HECVAT!A:E,4,FALSE)</f>
        <v>0</v>
      </c>
      <c r="E80" s="81" t="b">
        <f>IF(Table1[[#This Row],[Column11]]&gt;20,TRUE,FALSE)</f>
        <v>0</v>
      </c>
      <c r="F80" s="81" t="s">
        <v>2050</v>
      </c>
      <c r="G80" s="82" t="s">
        <v>17</v>
      </c>
      <c r="H80" s="83">
        <v>1</v>
      </c>
      <c r="I80" s="73">
        <f>VLOOKUP(B80,HECVAT!A:E,3,FALSE)</f>
        <v>0</v>
      </c>
      <c r="J80" s="73">
        <f>IF(VLOOKUP(Table1[[#This Row],[Column2]],'Analyst Report'!$A$41:$G$88,7,FALSE)="Yes",1,0)</f>
        <v>0</v>
      </c>
      <c r="K80" s="73">
        <f>IF(Table1[[#This Row],[Column8]]=1,10,"")</f>
        <v>10</v>
      </c>
      <c r="L80" s="73">
        <f>IF(Table1[[#This Row],[Column8]]=1,J80*K80,"")</f>
        <v>0</v>
      </c>
      <c r="M80" s="74" t="str">
        <f>VLOOKUP($B80,'Standards Crosswalk'!$A:$H,3,FALSE)</f>
        <v>CSC 2</v>
      </c>
      <c r="N80" s="74">
        <f>VLOOKUP($B80,'Standards Crosswalk'!$A:$H,4,FALSE)</f>
        <v>0</v>
      </c>
      <c r="O80" s="74">
        <f>VLOOKUP($B80,'Standards Crosswalk'!$A:$H,5,FALSE)</f>
        <v>0</v>
      </c>
      <c r="P80" s="74">
        <f>VLOOKUP($B80,'Standards Crosswalk'!$A:$H,6,FALSE)</f>
        <v>0</v>
      </c>
      <c r="Q80" s="74">
        <f>VLOOKUP($B80,'Standards Crosswalk'!$A:$H,7,FALSE)</f>
        <v>0</v>
      </c>
      <c r="R80" s="74" t="str">
        <f>VLOOKUP($B80,'Standards Crosswalk'!$A:$H,8,FALSE)</f>
        <v>CM-3, CM-4, CM-5</v>
      </c>
      <c r="S80" s="74">
        <f>VLOOKUP($B80,'Standards Crosswalk'!$A:$I,9,FALSE)</f>
        <v>0</v>
      </c>
    </row>
    <row r="81" spans="1:19" ht="43.5" thickBot="1" x14ac:dyDescent="0.25">
      <c r="A81" s="73">
        <f t="shared" si="4"/>
        <v>79</v>
      </c>
      <c r="B81" s="79" t="s">
        <v>252</v>
      </c>
      <c r="C81" s="80" t="str">
        <f>VLOOKUP(B81,HECVAT!A:E,2,FALSE)</f>
        <v>Does the system support client customizations from one release to another?</v>
      </c>
      <c r="D81" s="73">
        <f>VLOOKUP(B81,HECVAT!A:E,4,FALSE)</f>
        <v>0</v>
      </c>
      <c r="E81" s="81" t="b">
        <f>IF(Table1[[#This Row],[Column11]]&gt;20,TRUE,FALSE)</f>
        <v>0</v>
      </c>
      <c r="F81" s="81" t="s">
        <v>2050</v>
      </c>
      <c r="G81" s="82" t="s">
        <v>17</v>
      </c>
      <c r="H81" s="83">
        <v>1</v>
      </c>
      <c r="I81" s="73">
        <f>VLOOKUP(B81,HECVAT!A:E,3,FALSE)</f>
        <v>0</v>
      </c>
      <c r="J81" s="73">
        <f>IF(Table1[[#This Row],[Column7]]=Table1[[#This Row],[Column9]],1,0)</f>
        <v>0</v>
      </c>
      <c r="K81" s="73">
        <f>IF(Table1[[#This Row],[Column8]]=1,15,"")</f>
        <v>15</v>
      </c>
      <c r="L81" s="73">
        <f>IF(Table1[[#This Row],[Column8]]=1,J81*K81,"")</f>
        <v>0</v>
      </c>
      <c r="M81" s="74" t="str">
        <f>VLOOKUP($B81,'Standards Crosswalk'!$A:$H,3,FALSE)</f>
        <v>CSC 10</v>
      </c>
      <c r="N81" s="74">
        <f>VLOOKUP($B81,'Standards Crosswalk'!$A:$H,4,FALSE)</f>
        <v>0</v>
      </c>
      <c r="O81" s="74">
        <f>VLOOKUP($B81,'Standards Crosswalk'!$A:$H,5,FALSE)</f>
        <v>0</v>
      </c>
      <c r="P81" s="74">
        <f>VLOOKUP($B81,'Standards Crosswalk'!$A:$H,6,FALSE)</f>
        <v>0</v>
      </c>
      <c r="Q81" s="74">
        <f>VLOOKUP($B81,'Standards Crosswalk'!$A:$H,7,FALSE)</f>
        <v>0</v>
      </c>
      <c r="R81" s="74" t="str">
        <f>VLOOKUP($B81,'Standards Crosswalk'!$A:$H,8,FALSE)</f>
        <v>CM-3, CM-4, CM-5</v>
      </c>
      <c r="S81" s="74">
        <f>VLOOKUP($B81,'Standards Crosswalk'!$A:$I,9,FALSE)</f>
        <v>0</v>
      </c>
    </row>
    <row r="82" spans="1:19" ht="129" thickBot="1" x14ac:dyDescent="0.25">
      <c r="A82" s="73">
        <f t="shared" si="4"/>
        <v>80</v>
      </c>
      <c r="B82" s="79" t="s">
        <v>253</v>
      </c>
      <c r="C82" s="80" t="str">
        <f>VLOOKUP(B82,HECVAT!A:E,2,FALSE)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73">
        <f>VLOOKUP(B82,HECVAT!A:E,4,FALSE)</f>
        <v>0</v>
      </c>
      <c r="E82" s="81" t="b">
        <f>IF(Table1[[#This Row],[Column11]]&gt;20,TRUE,FALSE)</f>
        <v>1</v>
      </c>
      <c r="F82" s="81" t="s">
        <v>2050</v>
      </c>
      <c r="G82" s="82" t="s">
        <v>17</v>
      </c>
      <c r="H82" s="83">
        <v>1</v>
      </c>
      <c r="I82" s="73">
        <f>VLOOKUP(B82,HECVAT!A:E,3,FALSE)</f>
        <v>0</v>
      </c>
      <c r="J82" s="73">
        <f>IF(Table1[[#This Row],[Column7]]=Table1[[#This Row],[Column9]],1,0)</f>
        <v>0</v>
      </c>
      <c r="K82" s="73">
        <f>IF(Table1[[#This Row],[Column8]]=1,25,"")</f>
        <v>25</v>
      </c>
      <c r="L82" s="73">
        <f>IF(Table1[[#This Row],[Column8]]=1,J82*K82,"")</f>
        <v>0</v>
      </c>
      <c r="M82" s="74" t="str">
        <f>VLOOKUP($B82,'Standards Crosswalk'!$A:$H,3,FALSE)</f>
        <v>CSC 2</v>
      </c>
      <c r="N82" s="74">
        <f>VLOOKUP($B82,'Standards Crosswalk'!$A:$H,4,FALSE)</f>
        <v>0</v>
      </c>
      <c r="O82" s="74" t="str">
        <f>VLOOKUP($B82,'Standards Crosswalk'!$A:$H,5,FALSE)</f>
        <v>12.1.1</v>
      </c>
      <c r="P82" s="74" t="str">
        <f>VLOOKUP($B82,'Standards Crosswalk'!$A:$H,6,FALSE)</f>
        <v>PR.DS-6</v>
      </c>
      <c r="Q82" s="74" t="str">
        <f>VLOOKUP($B82,'Standards Crosswalk'!$A:$H,7,FALSE)</f>
        <v>3.4.4</v>
      </c>
      <c r="R82" s="74" t="str">
        <f>VLOOKUP($B82,'Standards Crosswalk'!$A:$H,8,FALSE)</f>
        <v>CM-3, CM-4, CM-5</v>
      </c>
      <c r="S82" s="74">
        <f>VLOOKUP($B82,'Standards Crosswalk'!$A:$I,9,FALSE)</f>
        <v>12.1</v>
      </c>
    </row>
    <row r="83" spans="1:19" ht="43.5" thickBot="1" x14ac:dyDescent="0.25">
      <c r="A83" s="73">
        <f t="shared" si="4"/>
        <v>81</v>
      </c>
      <c r="B83" s="79" t="s">
        <v>254</v>
      </c>
      <c r="C83" s="80" t="str">
        <f>VLOOKUP(B83,HECVAT!A:E,2,FALSE)</f>
        <v>Do you have a release schedule for product updates?</v>
      </c>
      <c r="D83" s="73">
        <f>VLOOKUP(B83,HECVAT!A:E,4,FALSE)</f>
        <v>0</v>
      </c>
      <c r="E83" s="81" t="b">
        <f>IF(Table1[[#This Row],[Column11]]&gt;20,TRUE,FALSE)</f>
        <v>0</v>
      </c>
      <c r="F83" s="81" t="s">
        <v>2050</v>
      </c>
      <c r="G83" s="82" t="s">
        <v>17</v>
      </c>
      <c r="H83" s="83">
        <v>1</v>
      </c>
      <c r="I83" s="73">
        <f>VLOOKUP(B83,HECVAT!A:E,3,FALSE)</f>
        <v>0</v>
      </c>
      <c r="J83" s="73">
        <f>IF(Table1[[#This Row],[Column7]]=Table1[[#This Row],[Column9]],1,0)</f>
        <v>0</v>
      </c>
      <c r="K83" s="73">
        <f>IF(Table1[[#This Row],[Column8]]=1,15,"")</f>
        <v>15</v>
      </c>
      <c r="L83" s="73">
        <f>IF(Table1[[#This Row],[Column8]]=1,J83*K83,"")</f>
        <v>0</v>
      </c>
      <c r="M83" s="74" t="str">
        <f>VLOOKUP($B83,'Standards Crosswalk'!$A:$H,3,FALSE)</f>
        <v>CSC 10</v>
      </c>
      <c r="N83" s="74">
        <f>VLOOKUP($B83,'Standards Crosswalk'!$A:$H,4,FALSE)</f>
        <v>0</v>
      </c>
      <c r="O83" s="74">
        <f>VLOOKUP($B83,'Standards Crosswalk'!$A:$H,5,FALSE)</f>
        <v>0</v>
      </c>
      <c r="P83" s="74">
        <f>VLOOKUP($B83,'Standards Crosswalk'!$A:$H,6,FALSE)</f>
        <v>0</v>
      </c>
      <c r="Q83" s="74" t="str">
        <f>VLOOKUP($B83,'Standards Crosswalk'!$A:$H,7,FALSE)</f>
        <v>3.14.4</v>
      </c>
      <c r="R83" s="74" t="str">
        <f>VLOOKUP($B83,'Standards Crosswalk'!$A:$H,8,FALSE)</f>
        <v>CM-3, CM-4, CM-5</v>
      </c>
      <c r="S83" s="74">
        <f>VLOOKUP($B83,'Standards Crosswalk'!$A:$I,9,FALSE)</f>
        <v>0</v>
      </c>
    </row>
    <row r="84" spans="1:19" ht="57.75" thickBot="1" x14ac:dyDescent="0.25">
      <c r="A84" s="73">
        <f t="shared" si="4"/>
        <v>82</v>
      </c>
      <c r="B84" s="79" t="s">
        <v>255</v>
      </c>
      <c r="C84" s="80" t="str">
        <f>VLOOKUP(B84,HECVAT!A:E,2,FALSE)</f>
        <v>Do you have a technology roadmap, for the next 2 years, for enhancements and bug fixes for the product/service being assessed?</v>
      </c>
      <c r="D84" s="73">
        <f>VLOOKUP(B84,HECVAT!A:E,4,FALSE)</f>
        <v>0</v>
      </c>
      <c r="E84" s="81" t="b">
        <f>IF(Table1[[#This Row],[Column11]]&gt;20,TRUE,FALSE)</f>
        <v>0</v>
      </c>
      <c r="F84" s="81" t="s">
        <v>2050</v>
      </c>
      <c r="G84" s="82" t="s">
        <v>17</v>
      </c>
      <c r="H84" s="83">
        <v>1</v>
      </c>
      <c r="I84" s="73">
        <f>VLOOKUP(B84,HECVAT!A:E,3,FALSE)</f>
        <v>0</v>
      </c>
      <c r="J84" s="73">
        <f>IF(Table1[[#This Row],[Column7]]=Table1[[#This Row],[Column9]],1,0)</f>
        <v>0</v>
      </c>
      <c r="K84" s="73">
        <f>IF(Table1[[#This Row],[Column8]]=1,15,"")</f>
        <v>15</v>
      </c>
      <c r="L84" s="73">
        <f>IF(Table1[[#This Row],[Column8]]=1,J84*K84,"")</f>
        <v>0</v>
      </c>
      <c r="M84" s="74" t="str">
        <f>VLOOKUP($B84,'Standards Crosswalk'!$A:$H,3,FALSE)</f>
        <v>CSC 2</v>
      </c>
      <c r="N84" s="74">
        <f>VLOOKUP($B84,'Standards Crosswalk'!$A:$H,4,FALSE)</f>
        <v>0</v>
      </c>
      <c r="O84" s="74">
        <f>VLOOKUP($B84,'Standards Crosswalk'!$A:$H,5,FALSE)</f>
        <v>0</v>
      </c>
      <c r="P84" s="74">
        <f>VLOOKUP($B84,'Standards Crosswalk'!$A:$H,6,FALSE)</f>
        <v>0</v>
      </c>
      <c r="Q84" s="74">
        <f>VLOOKUP($B84,'Standards Crosswalk'!$A:$H,7,FALSE)</f>
        <v>0</v>
      </c>
      <c r="R84" s="74" t="str">
        <f>VLOOKUP($B84,'Standards Crosswalk'!$A:$H,8,FALSE)</f>
        <v>CM-3, CM-4, CM-5</v>
      </c>
      <c r="S84" s="74">
        <f>VLOOKUP($B84,'Standards Crosswalk'!$A:$I,9,FALSE)</f>
        <v>0</v>
      </c>
    </row>
    <row r="85" spans="1:19" ht="43.5" thickBot="1" x14ac:dyDescent="0.25">
      <c r="A85" s="73">
        <f t="shared" si="4"/>
        <v>83</v>
      </c>
      <c r="B85" s="79" t="s">
        <v>256</v>
      </c>
      <c r="C85" s="80" t="str">
        <f>VLOOKUP(B85,HECVAT!A:E,2,FALSE)</f>
        <v>Is Institution involvement (i.e. technically or organizationally) required during product updates?</v>
      </c>
      <c r="D85" s="73">
        <f>VLOOKUP(B85,HECVAT!A:E,4,FALSE)</f>
        <v>0</v>
      </c>
      <c r="E85" s="81" t="b">
        <f>IF(Table1[[#This Row],[Column11]]&gt;20,TRUE,FALSE)</f>
        <v>0</v>
      </c>
      <c r="F85" s="81" t="s">
        <v>2050</v>
      </c>
      <c r="G85" s="82" t="s">
        <v>17</v>
      </c>
      <c r="H85" s="83">
        <v>1</v>
      </c>
      <c r="I85" s="73">
        <f>VLOOKUP(B85,HECVAT!A:E,3,FALSE)</f>
        <v>0</v>
      </c>
      <c r="J85" s="73">
        <f>IF(Table1[[#This Row],[Column7]]=Table1[[#This Row],[Column9]],1,0)</f>
        <v>0</v>
      </c>
      <c r="K85" s="73">
        <f>IF(Table1[[#This Row],[Column8]]=1,15,"")</f>
        <v>15</v>
      </c>
      <c r="L85" s="73">
        <f>IF(Table1[[#This Row],[Column8]]=1,J85*K85,"")</f>
        <v>0</v>
      </c>
      <c r="M85" s="74">
        <f>VLOOKUP($B85,'Standards Crosswalk'!$A:$H,3,FALSE)</f>
        <v>0</v>
      </c>
      <c r="N85" s="74">
        <f>VLOOKUP($B85,'Standards Crosswalk'!$A:$H,4,FALSE)</f>
        <v>0</v>
      </c>
      <c r="O85" s="74">
        <f>VLOOKUP($B85,'Standards Crosswalk'!$A:$H,5,FALSE)</f>
        <v>0</v>
      </c>
      <c r="P85" s="74">
        <f>VLOOKUP($B85,'Standards Crosswalk'!$A:$H,6,FALSE)</f>
        <v>0</v>
      </c>
      <c r="Q85" s="74">
        <f>VLOOKUP($B85,'Standards Crosswalk'!$A:$H,7,FALSE)</f>
        <v>0</v>
      </c>
      <c r="R85" s="74" t="str">
        <f>VLOOKUP($B85,'Standards Crosswalk'!$A:$H,8,FALSE)</f>
        <v>CM-3, CM-4, CM-5</v>
      </c>
      <c r="S85" s="74">
        <f>VLOOKUP($B85,'Standards Crosswalk'!$A:$I,9,FALSE)</f>
        <v>0</v>
      </c>
    </row>
    <row r="86" spans="1:19" ht="57.75" thickBot="1" x14ac:dyDescent="0.25">
      <c r="A86" s="73">
        <f t="shared" si="4"/>
        <v>84</v>
      </c>
      <c r="B86" s="79" t="s">
        <v>257</v>
      </c>
      <c r="C86" s="80" t="str">
        <f>VLOOKUP(B86,HECVAT!A:E,2,FALSE)</f>
        <v>Do you have policy and procedure, currently implemented, managing how critical patches are applied to all systems and applications?</v>
      </c>
      <c r="D86" s="73">
        <f>VLOOKUP(B86,HECVAT!A:E,4,FALSE)</f>
        <v>0</v>
      </c>
      <c r="E86" s="81" t="b">
        <f>IF(Table1[[#This Row],[Column11]]&gt;20,TRUE,FALSE)</f>
        <v>0</v>
      </c>
      <c r="F86" s="81" t="s">
        <v>2050</v>
      </c>
      <c r="G86" s="82" t="s">
        <v>17</v>
      </c>
      <c r="H86" s="83">
        <v>1</v>
      </c>
      <c r="I86" s="73">
        <f>VLOOKUP(B86,HECVAT!A:E,3,FALSE)</f>
        <v>0</v>
      </c>
      <c r="J86" s="73">
        <f>IF(Table1[[#This Row],[Column7]]=Table1[[#This Row],[Column9]],1,0)</f>
        <v>0</v>
      </c>
      <c r="K86" s="73">
        <f>IF(Table1[[#This Row],[Column8]]=1,20,"")</f>
        <v>20</v>
      </c>
      <c r="L86" s="73">
        <f>IF(Table1[[#This Row],[Column8]]=1,J86*K86,"")</f>
        <v>0</v>
      </c>
      <c r="M86" s="74" t="str">
        <f>VLOOKUP($B86,'Standards Crosswalk'!$A:$H,3,FALSE)</f>
        <v>CSC 2</v>
      </c>
      <c r="N86" s="74">
        <f>VLOOKUP($B86,'Standards Crosswalk'!$A:$H,4,FALSE)</f>
        <v>0</v>
      </c>
      <c r="O86" s="74" t="str">
        <f>VLOOKUP($B86,'Standards Crosswalk'!$A:$H,5,FALSE)</f>
        <v>12.6.1</v>
      </c>
      <c r="P86" s="74">
        <f>VLOOKUP($B86,'Standards Crosswalk'!$A:$H,6,FALSE)</f>
        <v>0</v>
      </c>
      <c r="Q86" s="74">
        <f>VLOOKUP($B86,'Standards Crosswalk'!$A:$H,7,FALSE)</f>
        <v>0</v>
      </c>
      <c r="R86" s="74" t="str">
        <f>VLOOKUP($B86,'Standards Crosswalk'!$A:$H,8,FALSE)</f>
        <v>CM-3, CM-4, CM-5</v>
      </c>
      <c r="S86" s="74" t="str">
        <f>VLOOKUP($B86,'Standards Crosswalk'!$A:$I,9,FALSE)</f>
        <v>12.1, 12.8, 6.2</v>
      </c>
    </row>
    <row r="87" spans="1:19" ht="57.75" thickBot="1" x14ac:dyDescent="0.25">
      <c r="A87" s="73">
        <f t="shared" si="4"/>
        <v>85</v>
      </c>
      <c r="B87" s="79" t="s">
        <v>258</v>
      </c>
      <c r="C87" s="80" t="str">
        <f>VLOOKUP(B87,HECVAT!A:E,2,FALSE)</f>
        <v>Do you have policy and procedure, currently implemented, guiding how security risks are mitigated until patches can be applied?</v>
      </c>
      <c r="D87" s="73">
        <f>VLOOKUP(B87,HECVAT!A:E,4,FALSE)</f>
        <v>0</v>
      </c>
      <c r="E87" s="81" t="b">
        <f>IF(Table1[[#This Row],[Column11]]&gt;20,TRUE,FALSE)</f>
        <v>0</v>
      </c>
      <c r="F87" s="81" t="s">
        <v>2050</v>
      </c>
      <c r="G87" s="82" t="s">
        <v>17</v>
      </c>
      <c r="H87" s="83">
        <v>1</v>
      </c>
      <c r="I87" s="73">
        <f>VLOOKUP(B87,HECVAT!A:E,3,FALSE)</f>
        <v>0</v>
      </c>
      <c r="J87" s="73">
        <f>IF(Table1[[#This Row],[Column7]]=Table1[[#This Row],[Column9]],1,0)</f>
        <v>0</v>
      </c>
      <c r="K87" s="73">
        <f>IF(Table1[[#This Row],[Column8]]=1,20,"")</f>
        <v>20</v>
      </c>
      <c r="L87" s="73">
        <f>IF(Table1[[#This Row],[Column8]]=1,J87*K87,"")</f>
        <v>0</v>
      </c>
      <c r="M87" s="74" t="str">
        <f>VLOOKUP($B87,'Standards Crosswalk'!$A:$H,3,FALSE)</f>
        <v>CSC 13</v>
      </c>
      <c r="N87" s="74" t="str">
        <f>VLOOKUP($B87,'Standards Crosswalk'!$A:$H,4,FALSE)</f>
        <v>§164.308(a)(1)(ii)(B)</v>
      </c>
      <c r="O87" s="74" t="str">
        <f>VLOOKUP($B87,'Standards Crosswalk'!$A:$H,5,FALSE)</f>
        <v>12.6.1</v>
      </c>
      <c r="P87" s="74">
        <f>VLOOKUP($B87,'Standards Crosswalk'!$A:$H,6,FALSE)</f>
        <v>0</v>
      </c>
      <c r="Q87" s="74">
        <f>VLOOKUP($B87,'Standards Crosswalk'!$A:$H,7,FALSE)</f>
        <v>0</v>
      </c>
      <c r="R87" s="74" t="str">
        <f>VLOOKUP($B87,'Standards Crosswalk'!$A:$H,8,FALSE)</f>
        <v>CM-3, CM-4, CM-5</v>
      </c>
      <c r="S87" s="74" t="str">
        <f>VLOOKUP($B87,'Standards Crosswalk'!$A:$I,9,FALSE)</f>
        <v>12.2, 12.8</v>
      </c>
    </row>
    <row r="88" spans="1:19" ht="57.75" thickBot="1" x14ac:dyDescent="0.25">
      <c r="A88" s="73">
        <f t="shared" si="4"/>
        <v>86</v>
      </c>
      <c r="B88" s="79" t="s">
        <v>259</v>
      </c>
      <c r="C88" s="80" t="str">
        <f>VLOOKUP(B88,HECVAT!A:E,2,FALSE)</f>
        <v>Are upgrades or system changes installed during off-peak hours or in a manner that does not impact the customer?</v>
      </c>
      <c r="D88" s="73">
        <f>VLOOKUP(B88,HECVAT!A:E,4,FALSE)</f>
        <v>0</v>
      </c>
      <c r="E88" s="81" t="b">
        <f>IF(Table1[[#This Row],[Column11]]&gt;20,TRUE,FALSE)</f>
        <v>0</v>
      </c>
      <c r="F88" s="81" t="s">
        <v>2050</v>
      </c>
      <c r="G88" s="82" t="s">
        <v>17</v>
      </c>
      <c r="H88" s="83">
        <v>1</v>
      </c>
      <c r="I88" s="73">
        <f>VLOOKUP(B88,HECVAT!A:E,3,FALSE)</f>
        <v>0</v>
      </c>
      <c r="J88" s="73">
        <f>IF(Table1[[#This Row],[Column7]]=Table1[[#This Row],[Column9]],1,0)</f>
        <v>0</v>
      </c>
      <c r="K88" s="73">
        <f>IF(Table1[[#This Row],[Column8]]=1,15,"")</f>
        <v>15</v>
      </c>
      <c r="L88" s="73">
        <f>IF(Table1[[#This Row],[Column8]]=1,J88*K88,"")</f>
        <v>0</v>
      </c>
      <c r="M88" s="74" t="str">
        <f>VLOOKUP($B88,'Standards Crosswalk'!$A:$H,3,FALSE)</f>
        <v>CSC 10</v>
      </c>
      <c r="N88" s="74">
        <f>VLOOKUP($B88,'Standards Crosswalk'!$A:$H,4,FALSE)</f>
        <v>0</v>
      </c>
      <c r="O88" s="74">
        <f>VLOOKUP($B88,'Standards Crosswalk'!$A:$H,5,FALSE)</f>
        <v>0</v>
      </c>
      <c r="P88" s="74">
        <f>VLOOKUP($B88,'Standards Crosswalk'!$A:$H,6,FALSE)</f>
        <v>0</v>
      </c>
      <c r="Q88" s="74">
        <f>VLOOKUP($B88,'Standards Crosswalk'!$A:$H,7,FALSE)</f>
        <v>0</v>
      </c>
      <c r="R88" s="74" t="str">
        <f>VLOOKUP($B88,'Standards Crosswalk'!$A:$H,8,FALSE)</f>
        <v>CM-3, CM-4, CM-5</v>
      </c>
      <c r="S88" s="74" t="str">
        <f>VLOOKUP($B88,'Standards Crosswalk'!$A:$I,9,FALSE)</f>
        <v>12.1, 12.2, 12.8</v>
      </c>
    </row>
    <row r="89" spans="1:19" ht="57.75" thickBot="1" x14ac:dyDescent="0.25">
      <c r="A89" s="73">
        <f t="shared" si="4"/>
        <v>87</v>
      </c>
      <c r="B89" s="79" t="s">
        <v>260</v>
      </c>
      <c r="C89" s="80" t="str">
        <f>VLOOKUP(B89,HECVAT!A:E,2,FALSE)</f>
        <v>Do procedures exist to provide that emergency changes are documented and authorized (including after the fact approval)?</v>
      </c>
      <c r="D89" s="73">
        <f>VLOOKUP(B89,HECVAT!A:E,4,FALSE)</f>
        <v>0</v>
      </c>
      <c r="E89" s="81" t="b">
        <f>IF(Table1[[#This Row],[Column11]]&gt;20,TRUE,FALSE)</f>
        <v>0</v>
      </c>
      <c r="F89" s="81" t="s">
        <v>2050</v>
      </c>
      <c r="G89" s="82" t="s">
        <v>17</v>
      </c>
      <c r="H89" s="83">
        <v>1</v>
      </c>
      <c r="I89" s="73">
        <f>VLOOKUP(B89,HECVAT!A:E,3,FALSE)</f>
        <v>0</v>
      </c>
      <c r="J89" s="73">
        <f>IF(Table1[[#This Row],[Column7]]=Table1[[#This Row],[Column9]],1,0)</f>
        <v>0</v>
      </c>
      <c r="K89" s="73">
        <f>IF(Table1[[#This Row],[Column8]]=1,15,"")</f>
        <v>15</v>
      </c>
      <c r="L89" s="73">
        <f>IF(Table1[[#This Row],[Column8]]=1,J89*K89,"")</f>
        <v>0</v>
      </c>
      <c r="M89" s="74" t="str">
        <f>VLOOKUP($B89,'Standards Crosswalk'!$A:$H,3,FALSE)</f>
        <v>CSC 10</v>
      </c>
      <c r="N89" s="74">
        <f>VLOOKUP($B89,'Standards Crosswalk'!$A:$H,4,FALSE)</f>
        <v>0</v>
      </c>
      <c r="O89" s="74" t="str">
        <f>VLOOKUP($B89,'Standards Crosswalk'!$A:$H,5,FALSE)</f>
        <v>12.1.2</v>
      </c>
      <c r="P89" s="74" t="str">
        <f>VLOOKUP($B89,'Standards Crosswalk'!$A:$H,6,FALSE)</f>
        <v>PR.IP-3</v>
      </c>
      <c r="Q89" s="74">
        <f>VLOOKUP($B89,'Standards Crosswalk'!$A:$H,7,FALSE)</f>
        <v>0</v>
      </c>
      <c r="R89" s="74" t="str">
        <f>VLOOKUP($B89,'Standards Crosswalk'!$A:$H,8,FALSE)</f>
        <v>CM-3, CM-4, CM-5</v>
      </c>
      <c r="S89" s="74" t="str">
        <f>VLOOKUP($B89,'Standards Crosswalk'!$A:$I,9,FALSE)</f>
        <v>12.10, 12.8, 6.4</v>
      </c>
    </row>
    <row r="90" spans="1:19" ht="43.5" thickBot="1" x14ac:dyDescent="0.25">
      <c r="A90" s="73">
        <f t="shared" si="4"/>
        <v>88</v>
      </c>
      <c r="B90" s="79" t="s">
        <v>261</v>
      </c>
      <c r="C90" s="80" t="str">
        <f>VLOOKUP(B90,HECVAT!A:E,2,FALSE)</f>
        <v>Do you physically and logically separate Institution's data from that of other customers?</v>
      </c>
      <c r="D90" s="73">
        <f>VLOOKUP(B90,HECVAT!A:E,4,FALSE)</f>
        <v>0</v>
      </c>
      <c r="E90" s="81" t="b">
        <f>IF(Table1[[#This Row],[Column11]]&gt;20,TRUE,FALSE)</f>
        <v>1</v>
      </c>
      <c r="F90" s="81" t="s">
        <v>2051</v>
      </c>
      <c r="G90" s="100" t="s">
        <v>17</v>
      </c>
      <c r="H90" s="83">
        <v>1</v>
      </c>
      <c r="I90" s="73">
        <f>VLOOKUP(B90,HECVAT!A:E,3,FALSE)</f>
        <v>0</v>
      </c>
      <c r="J90" s="73">
        <f>IF(Table1[[#This Row],[Column7]]=Table1[[#This Row],[Column9]],1,0)</f>
        <v>0</v>
      </c>
      <c r="K90" s="73">
        <f>IF(Table1[[#This Row],[Column8]]=1,25,"")</f>
        <v>25</v>
      </c>
      <c r="L90" s="73">
        <f>IF(Table1[[#This Row],[Column8]]=1,J90*K90,"")</f>
        <v>0</v>
      </c>
      <c r="M90" s="74" t="str">
        <f>VLOOKUP($B90,'Standards Crosswalk'!$A:$H,3,FALSE)</f>
        <v>CSC 12</v>
      </c>
      <c r="N90" s="74">
        <f>VLOOKUP($B90,'Standards Crosswalk'!$A:$H,4,FALSE)</f>
        <v>0</v>
      </c>
      <c r="O90" s="74">
        <f>VLOOKUP($B90,'Standards Crosswalk'!$A:$H,5,FALSE)</f>
        <v>0</v>
      </c>
      <c r="P90" s="74" t="str">
        <f>VLOOKUP($B90,'Standards Crosswalk'!$A:$H,6,FALSE)</f>
        <v>PR.AC-2, PR.IP-5</v>
      </c>
      <c r="Q90" s="74" t="str">
        <f>VLOOKUP($B90,'Standards Crosswalk'!$A:$H,7,FALSE)</f>
        <v>3.1.3, 3.8.1</v>
      </c>
      <c r="R90" s="74" t="str">
        <f>VLOOKUP($B90,'Standards Crosswalk'!$A:$H,8,FALSE)</f>
        <v>AC-4, MP-2, MP-4</v>
      </c>
      <c r="S90" s="74">
        <f>VLOOKUP($B90,'Standards Crosswalk'!$A:$I,9,FALSE)</f>
        <v>12.8</v>
      </c>
    </row>
    <row r="91" spans="1:19" ht="72" thickBot="1" x14ac:dyDescent="0.25">
      <c r="A91" s="73">
        <f t="shared" si="4"/>
        <v>89</v>
      </c>
      <c r="B91" s="79" t="s">
        <v>262</v>
      </c>
      <c r="C91" s="80" t="str">
        <f>VLOOKUP(B91,HECVAT!A:E,2,FALSE)</f>
        <v>Will Institution's data be stored on any devices (database servers, file servers, SAN, NAS, …) configured with non-RFC 1918/4193 (i.e. publicly routable) IP addresses?</v>
      </c>
      <c r="D91" s="73">
        <f>VLOOKUP(B91,HECVAT!A:E,4,FALSE)</f>
        <v>0</v>
      </c>
      <c r="E91" s="81" t="b">
        <f>IF(Table1[[#This Row],[Column11]]&gt;20,TRUE,FALSE)</f>
        <v>0</v>
      </c>
      <c r="F91" s="81" t="s">
        <v>2051</v>
      </c>
      <c r="G91" s="100" t="s">
        <v>17</v>
      </c>
      <c r="H91" s="83">
        <v>1</v>
      </c>
      <c r="I91" s="73">
        <f>VLOOKUP(B91,HECVAT!A:E,3,FALSE)</f>
        <v>0</v>
      </c>
      <c r="J91" s="73">
        <f>IF(Table1[[#This Row],[Column7]]=Table1[[#This Row],[Column9]],1,0)</f>
        <v>0</v>
      </c>
      <c r="K91" s="73">
        <f>IF(Table1[[#This Row],[Column8]]=1,15,"")</f>
        <v>15</v>
      </c>
      <c r="L91" s="73">
        <f>IF(Table1[[#This Row],[Column8]]=1,J91*K91,"")</f>
        <v>0</v>
      </c>
      <c r="M91" s="74" t="str">
        <f>VLOOKUP($B91,'Standards Crosswalk'!$A:$H,3,FALSE)</f>
        <v>CSC 12</v>
      </c>
      <c r="N91" s="74">
        <f>VLOOKUP($B91,'Standards Crosswalk'!$A:$H,4,FALSE)</f>
        <v>0</v>
      </c>
      <c r="O91" s="74">
        <f>VLOOKUP($B91,'Standards Crosswalk'!$A:$H,5,FALSE)</f>
        <v>0</v>
      </c>
      <c r="P91" s="74" t="str">
        <f>VLOOKUP($B91,'Standards Crosswalk'!$A:$H,6,FALSE)</f>
        <v>PR.AC-2, PR.IP-5</v>
      </c>
      <c r="Q91" s="74" t="str">
        <f>VLOOKUP($B91,'Standards Crosswalk'!$A:$H,7,FALSE)</f>
        <v>3.1.22</v>
      </c>
      <c r="R91" s="74" t="str">
        <f>VLOOKUP($B91,'Standards Crosswalk'!$A:$H,8,FALSE)</f>
        <v>AC-22</v>
      </c>
      <c r="S91" s="74" t="str">
        <f>VLOOKUP($B91,'Standards Crosswalk'!$A:$I,9,FALSE)</f>
        <v>12.8, 9.x</v>
      </c>
    </row>
    <row r="92" spans="1:19" ht="29.25" thickBot="1" x14ac:dyDescent="0.25">
      <c r="A92" s="73">
        <f t="shared" si="4"/>
        <v>90</v>
      </c>
      <c r="B92" s="79" t="s">
        <v>263</v>
      </c>
      <c r="C92" s="80" t="str">
        <f>VLOOKUP(B92,HECVAT!A:E,2,FALSE)</f>
        <v>Is sensitive data encrypted in transport? (e.g. system-to-client)</v>
      </c>
      <c r="D92" s="73">
        <f>VLOOKUP(B92,HECVAT!A:E,4,FALSE)</f>
        <v>0</v>
      </c>
      <c r="E92" s="81" t="b">
        <f>IF(Table1[[#This Row],[Column11]]&gt;20,TRUE,FALSE)</f>
        <v>1</v>
      </c>
      <c r="F92" s="81" t="s">
        <v>2051</v>
      </c>
      <c r="G92" s="100" t="s">
        <v>17</v>
      </c>
      <c r="H92" s="83">
        <v>1</v>
      </c>
      <c r="I92" s="73">
        <f>VLOOKUP(B92,HECVAT!A:E,3,FALSE)</f>
        <v>0</v>
      </c>
      <c r="J92" s="73">
        <f>IF(Table1[[#This Row],[Column7]]=Table1[[#This Row],[Column9]],1,0)</f>
        <v>0</v>
      </c>
      <c r="K92" s="73">
        <f>IF(Table1[[#This Row],[Column8]]=1,25,"")</f>
        <v>25</v>
      </c>
      <c r="L92" s="73">
        <f>IF(Table1[[#This Row],[Column8]]=1,J92*K92,"")</f>
        <v>0</v>
      </c>
      <c r="M92" s="74" t="str">
        <f>VLOOKUP($B92,'Standards Crosswalk'!$A:$H,3,FALSE)</f>
        <v>CSC 13</v>
      </c>
      <c r="N92" s="74">
        <f>VLOOKUP($B92,'Standards Crosswalk'!$A:$H,4,FALSE)</f>
        <v>0</v>
      </c>
      <c r="O92" s="74" t="str">
        <f>VLOOKUP($B92,'Standards Crosswalk'!$A:$H,5,FALSE)</f>
        <v>10.1.1</v>
      </c>
      <c r="P92" s="74" t="str">
        <f>VLOOKUP($B92,'Standards Crosswalk'!$A:$H,6,FALSE)</f>
        <v>PR.DS-2</v>
      </c>
      <c r="Q92" s="74">
        <f>VLOOKUP($B92,'Standards Crosswalk'!$A:$H,7,FALSE)</f>
        <v>0</v>
      </c>
      <c r="R92" s="74">
        <f>VLOOKUP($B92,'Standards Crosswalk'!$A:$H,8,FALSE)</f>
        <v>0</v>
      </c>
      <c r="S92" s="74" t="str">
        <f>VLOOKUP($B92,'Standards Crosswalk'!$A:$I,9,FALSE)</f>
        <v>12.8, 4.1</v>
      </c>
    </row>
    <row r="93" spans="1:19" ht="43.5" thickBot="1" x14ac:dyDescent="0.25">
      <c r="A93" s="73">
        <f t="shared" si="4"/>
        <v>91</v>
      </c>
      <c r="B93" s="79" t="s">
        <v>264</v>
      </c>
      <c r="C93" s="80" t="str">
        <f>VLOOKUP(B93,HECVAT!A:E,2,FALSE)</f>
        <v>Is sensitive data encrypted in storage (e.g. disk encryption, at-rest)?</v>
      </c>
      <c r="D93" s="73">
        <f>VLOOKUP(B93,HECVAT!A:E,4,FALSE)</f>
        <v>0</v>
      </c>
      <c r="E93" s="81" t="b">
        <f>IF(Table1[[#This Row],[Column11]]&gt;20,TRUE,FALSE)</f>
        <v>1</v>
      </c>
      <c r="F93" s="81" t="s">
        <v>2051</v>
      </c>
      <c r="G93" s="100" t="s">
        <v>17</v>
      </c>
      <c r="H93" s="83">
        <v>1</v>
      </c>
      <c r="I93" s="73">
        <f>VLOOKUP(B93,HECVAT!A:E,3,FALSE)</f>
        <v>0</v>
      </c>
      <c r="J93" s="73">
        <f>IF(Table1[[#This Row],[Column7]]=Table1[[#This Row],[Column9]],1,0)</f>
        <v>0</v>
      </c>
      <c r="K93" s="73">
        <f>IF(Table1[[#This Row],[Column8]]=1,40,"")</f>
        <v>40</v>
      </c>
      <c r="L93" s="73">
        <f>IF(Table1[[#This Row],[Column8]]=1,J93*K93,"")</f>
        <v>0</v>
      </c>
      <c r="M93" s="74" t="str">
        <f>VLOOKUP($B93,'Standards Crosswalk'!$A:$H,3,FALSE)</f>
        <v>CSC 13</v>
      </c>
      <c r="N93" s="74">
        <f>VLOOKUP($B93,'Standards Crosswalk'!$A:$H,4,FALSE)</f>
        <v>0</v>
      </c>
      <c r="O93" s="74" t="str">
        <f>VLOOKUP($B93,'Standards Crosswalk'!$A:$H,5,FALSE)</f>
        <v>8.2.3, 10.1.1</v>
      </c>
      <c r="P93" s="74" t="str">
        <f>VLOOKUP($B93,'Standards Crosswalk'!$A:$H,6,FALSE)</f>
        <v>PR.DS-1</v>
      </c>
      <c r="Q93" s="74" t="str">
        <f>VLOOKUP($B93,'Standards Crosswalk'!$A:$H,7,FALSE)</f>
        <v>3.1.19, 3.8.1</v>
      </c>
      <c r="R93" s="74" t="str">
        <f>VLOOKUP($B93,'Standards Crosswalk'!$A:$H,8,FALSE)</f>
        <v>MP-2, AC-19(5)</v>
      </c>
      <c r="S93" s="74">
        <f>VLOOKUP($B93,'Standards Crosswalk'!$A:$I,9,FALSE)</f>
        <v>12.8</v>
      </c>
    </row>
    <row r="94" spans="1:19" ht="72" thickBot="1" x14ac:dyDescent="0.25">
      <c r="A94" s="73">
        <f t="shared" si="4"/>
        <v>92</v>
      </c>
      <c r="B94" s="79" t="s">
        <v>265</v>
      </c>
      <c r="C94" s="80" t="str">
        <f>VLOOKUP(B94,HECVAT!A:E,2,FALSE)</f>
        <v>Do you employ or allow any cryptographic modules that do not conform to the Federal Information Processing Standards (FIPS PUB 140-2)?</v>
      </c>
      <c r="D94" s="73">
        <f>VLOOKUP(B94,HECVAT!A:E,4,FALSE)</f>
        <v>0</v>
      </c>
      <c r="E94" s="81" t="b">
        <f>IF(Table1[[#This Row],[Column11]]&gt;20,TRUE,FALSE)</f>
        <v>1</v>
      </c>
      <c r="F94" s="81" t="s">
        <v>2051</v>
      </c>
      <c r="G94" s="100" t="s">
        <v>21</v>
      </c>
      <c r="H94" s="83">
        <v>1</v>
      </c>
      <c r="I94" s="73">
        <f>VLOOKUP(B94,HECVAT!A:E,3,FALSE)</f>
        <v>0</v>
      </c>
      <c r="J94" s="73">
        <f>IF(Table1[[#This Row],[Column7]]=Table1[[#This Row],[Column9]],1,0)</f>
        <v>0</v>
      </c>
      <c r="K94" s="73">
        <f>IF(Table1[[#This Row],[Column8]]=1,25,"")</f>
        <v>25</v>
      </c>
      <c r="L94" s="73">
        <f>IF(Table1[[#This Row],[Column8]]=1,J94*K94,"")</f>
        <v>0</v>
      </c>
      <c r="M94" s="74" t="str">
        <f>VLOOKUP($B94,'Standards Crosswalk'!$A:$H,3,FALSE)</f>
        <v>CSC 13</v>
      </c>
      <c r="N94" s="74">
        <f>VLOOKUP($B94,'Standards Crosswalk'!$A:$H,4,FALSE)</f>
        <v>0</v>
      </c>
      <c r="O94" s="74" t="str">
        <f>VLOOKUP($B94,'Standards Crosswalk'!$A:$H,5,FALSE)</f>
        <v>8.2.3, 10.1.1</v>
      </c>
      <c r="P94" s="74">
        <f>VLOOKUP($B94,'Standards Crosswalk'!$A:$H,6,FALSE)</f>
        <v>0</v>
      </c>
      <c r="Q94" s="74" t="str">
        <f>VLOOKUP($B94,'Standards Crosswalk'!$A:$H,7,FALSE)</f>
        <v>3.8.6, 3.13.11</v>
      </c>
      <c r="R94" s="74">
        <f>VLOOKUP($B94,'Standards Crosswalk'!$A:$H,8,FALSE)</f>
        <v>0</v>
      </c>
      <c r="S94" s="74">
        <f>VLOOKUP($B94,'Standards Crosswalk'!$A:$I,9,FALSE)</f>
        <v>12.1</v>
      </c>
    </row>
    <row r="95" spans="1:19" ht="86.25" thickBot="1" x14ac:dyDescent="0.25">
      <c r="A95" s="73">
        <f t="shared" si="4"/>
        <v>93</v>
      </c>
      <c r="B95" s="79" t="s">
        <v>266</v>
      </c>
      <c r="C95" s="80" t="str">
        <f>VLOOKUP(B95,HECVAT!A:E,2,FALSE)</f>
        <v>Does your system employ encryption technologies when transmitting sensitive information over TCP/IP networks (e.g., SSH, SSL/TLS, VPN)? (e.g. system-to-system and system-to-client)</v>
      </c>
      <c r="D95" s="73">
        <f>VLOOKUP(B95,HECVAT!A:E,4,FALSE)</f>
        <v>0</v>
      </c>
      <c r="E95" s="81" t="b">
        <f>IF(Table1[[#This Row],[Column11]]&gt;20,TRUE,FALSE)</f>
        <v>1</v>
      </c>
      <c r="F95" s="81" t="s">
        <v>2051</v>
      </c>
      <c r="G95" s="100" t="s">
        <v>17</v>
      </c>
      <c r="H95" s="83">
        <v>1</v>
      </c>
      <c r="I95" s="73">
        <f>VLOOKUP(B95,HECVAT!A:E,3,FALSE)</f>
        <v>0</v>
      </c>
      <c r="J95" s="73">
        <f>IF(Table1[[#This Row],[Column7]]=Table1[[#This Row],[Column9]],1,0)</f>
        <v>0</v>
      </c>
      <c r="K95" s="73">
        <f>IF(Table1[[#This Row],[Column8]]=1,25,"")</f>
        <v>25</v>
      </c>
      <c r="L95" s="73">
        <f>IF(Table1[[#This Row],[Column8]]=1,J95*K95,"")</f>
        <v>0</v>
      </c>
      <c r="M95" s="74" t="str">
        <f>VLOOKUP($B95,'Standards Crosswalk'!$A:$H,3,FALSE)</f>
        <v>CSC 13</v>
      </c>
      <c r="N95" s="74">
        <f>VLOOKUP($B95,'Standards Crosswalk'!$A:$H,4,FALSE)</f>
        <v>0</v>
      </c>
      <c r="O95" s="74" t="str">
        <f>VLOOKUP($B95,'Standards Crosswalk'!$A:$H,5,FALSE)</f>
        <v>13.2</v>
      </c>
      <c r="P95" s="74" t="str">
        <f>VLOOKUP($B95,'Standards Crosswalk'!$A:$H,6,FALSE)</f>
        <v>PR.DS-2</v>
      </c>
      <c r="Q95" s="74">
        <f>VLOOKUP($B95,'Standards Crosswalk'!$A:$H,7,FALSE)</f>
        <v>0</v>
      </c>
      <c r="R95" s="74" t="str">
        <f>VLOOKUP($B95,'Standards Crosswalk'!$A:$H,8,FALSE)</f>
        <v>PE-2, PE-3, PE-5, MP-5</v>
      </c>
      <c r="S95" s="74" t="str">
        <f>VLOOKUP($B95,'Standards Crosswalk'!$A:$I,9,FALSE)</f>
        <v>12.8, 4.1</v>
      </c>
    </row>
    <row r="96" spans="1:19" ht="43.5" thickBot="1" x14ac:dyDescent="0.25">
      <c r="A96" s="73">
        <f t="shared" si="4"/>
        <v>94</v>
      </c>
      <c r="B96" s="79" t="s">
        <v>267</v>
      </c>
      <c r="C96" s="80" t="str">
        <f>VLOOKUP(B96,HECVAT!A:E,2,FALSE)</f>
        <v>List all locations (i.e. city + datacenter name) where the institution's data will be stored?</v>
      </c>
      <c r="D96" s="73">
        <f>VLOOKUP(B96,HECVAT!A:E,4,FALSE)</f>
        <v>0</v>
      </c>
      <c r="E96" s="81" t="b">
        <f>IF(Table1[[#This Row],[Column11]]&gt;20,TRUE,FALSE)</f>
        <v>0</v>
      </c>
      <c r="F96" s="81" t="s">
        <v>2051</v>
      </c>
      <c r="G96" s="100"/>
      <c r="H96" s="83">
        <v>1</v>
      </c>
      <c r="I96" s="73">
        <f>VLOOKUP(B96,HECVAT!A:E,3,FALSE)</f>
        <v>0</v>
      </c>
      <c r="J96" s="73">
        <f>IF(VLOOKUP(Table1[[#This Row],[Column2]],'Analyst Report'!$A$41:$G$88,7,FALSE)="Yes",1,0)</f>
        <v>0</v>
      </c>
      <c r="K96" s="73">
        <f>IF(Table1[[#This Row],[Column8]]=1,20,"")</f>
        <v>20</v>
      </c>
      <c r="L96" s="73">
        <f>IF(Table1[[#This Row],[Column8]]=1,J96*K96,"")</f>
        <v>0</v>
      </c>
      <c r="M96" s="74" t="str">
        <f>VLOOKUP($B96,'Standards Crosswalk'!$A:$H,3,FALSE)</f>
        <v>CSC 1</v>
      </c>
      <c r="N96" s="74">
        <f>VLOOKUP($B96,'Standards Crosswalk'!$A:$H,4,FALSE)</f>
        <v>0</v>
      </c>
      <c r="O96" s="74">
        <f>VLOOKUP($B96,'Standards Crosswalk'!$A:$H,5,FALSE)</f>
        <v>0</v>
      </c>
      <c r="P96" s="74">
        <f>VLOOKUP($B96,'Standards Crosswalk'!$A:$H,6,FALSE)</f>
        <v>0</v>
      </c>
      <c r="Q96" s="74" t="str">
        <f>VLOOKUP($B96,'Standards Crosswalk'!$A:$H,7,FALSE)</f>
        <v>3.8.1</v>
      </c>
      <c r="R96" s="74" t="str">
        <f>VLOOKUP($B96,'Standards Crosswalk'!$A:$H,8,FALSE)</f>
        <v>MP-2</v>
      </c>
      <c r="S96" s="74" t="str">
        <f>VLOOKUP($B96,'Standards Crosswalk'!$A:$I,9,FALSE)</f>
        <v>12.8, 9.x</v>
      </c>
    </row>
    <row r="97" spans="1:19" ht="43.5" thickBot="1" x14ac:dyDescent="0.25">
      <c r="A97" s="73">
        <f t="shared" si="4"/>
        <v>95</v>
      </c>
      <c r="B97" s="79" t="s">
        <v>268</v>
      </c>
      <c r="C97" s="80" t="str">
        <f>VLOOKUP(B97,HECVAT!A:E,2,FALSE)</f>
        <v>At the completion of this contract, will data be returned to the institution?</v>
      </c>
      <c r="D97" s="73">
        <f>VLOOKUP(B97,HECVAT!A:E,4,FALSE)</f>
        <v>0</v>
      </c>
      <c r="E97" s="81" t="b">
        <f>IF(Table1[[#This Row],[Column11]]&gt;20,TRUE,FALSE)</f>
        <v>1</v>
      </c>
      <c r="F97" s="81" t="s">
        <v>2051</v>
      </c>
      <c r="G97" s="100" t="s">
        <v>17</v>
      </c>
      <c r="H97" s="83">
        <v>1</v>
      </c>
      <c r="I97" s="73">
        <f>VLOOKUP(B97,HECVAT!A:E,3,FALSE)</f>
        <v>0</v>
      </c>
      <c r="J97" s="73">
        <f>IF(Table1[[#This Row],[Column7]]=Table1[[#This Row],[Column9]],1,0)</f>
        <v>0</v>
      </c>
      <c r="K97" s="73">
        <f>IF(Table1[[#This Row],[Column8]]=1,25,"")</f>
        <v>25</v>
      </c>
      <c r="L97" s="73">
        <f>IF(Table1[[#This Row],[Column8]]=1,J97*K97,"")</f>
        <v>0</v>
      </c>
      <c r="M97" s="74" t="str">
        <f>VLOOKUP($B97,'Standards Crosswalk'!$A:$H,3,FALSE)</f>
        <v>CSC 13</v>
      </c>
      <c r="N97" s="74">
        <f>VLOOKUP($B97,'Standards Crosswalk'!$A:$H,4,FALSE)</f>
        <v>0</v>
      </c>
      <c r="O97" s="74" t="str">
        <f>VLOOKUP($B97,'Standards Crosswalk'!$A:$H,5,FALSE)</f>
        <v>8.1.4</v>
      </c>
      <c r="P97" s="74">
        <f>VLOOKUP($B97,'Standards Crosswalk'!$A:$H,6,FALSE)</f>
        <v>0</v>
      </c>
      <c r="Q97" s="74" t="str">
        <f>VLOOKUP($B97,'Standards Crosswalk'!$A:$H,7,FALSE)</f>
        <v>3.8.1</v>
      </c>
      <c r="R97" s="74" t="str">
        <f>VLOOKUP($B97,'Standards Crosswalk'!$A:$H,8,FALSE)</f>
        <v>MP-2</v>
      </c>
      <c r="S97" s="74">
        <f>VLOOKUP($B97,'Standards Crosswalk'!$A:$I,9,FALSE)</f>
        <v>12.8</v>
      </c>
    </row>
    <row r="98" spans="1:19" ht="57.75" thickBot="1" x14ac:dyDescent="0.25">
      <c r="A98" s="73">
        <f t="shared" si="4"/>
        <v>96</v>
      </c>
      <c r="B98" s="79" t="s">
        <v>269</v>
      </c>
      <c r="C98" s="80" t="str">
        <f>VLOOKUP(B98,HECVAT!A:E,2,FALSE)</f>
        <v>Will the institution's data be available within the system for a period of time at the completion of this contract?</v>
      </c>
      <c r="D98" s="73">
        <f>VLOOKUP(B98,HECVAT!A:E,4,FALSE)</f>
        <v>0</v>
      </c>
      <c r="E98" s="81" t="b">
        <f>IF(Table1[[#This Row],[Column11]]&gt;20,TRUE,FALSE)</f>
        <v>0</v>
      </c>
      <c r="F98" s="81" t="s">
        <v>2051</v>
      </c>
      <c r="G98" s="100" t="s">
        <v>17</v>
      </c>
      <c r="H98" s="83">
        <v>1</v>
      </c>
      <c r="I98" s="73">
        <f>VLOOKUP(B98,HECVAT!A:E,3,FALSE)</f>
        <v>0</v>
      </c>
      <c r="J98" s="73">
        <f>IF(Table1[[#This Row],[Column7]]=Table1[[#This Row],[Column9]],1,0)</f>
        <v>0</v>
      </c>
      <c r="K98" s="73">
        <f>IF(Table1[[#This Row],[Column8]]=1,20,"")</f>
        <v>20</v>
      </c>
      <c r="L98" s="73">
        <f>IF(Table1[[#This Row],[Column8]]=1,J98*K98,"")</f>
        <v>0</v>
      </c>
      <c r="M98" s="74" t="str">
        <f>VLOOKUP($B98,'Standards Crosswalk'!$A:$H,3,FALSE)</f>
        <v>CSC 13</v>
      </c>
      <c r="N98" s="74">
        <f>VLOOKUP($B98,'Standards Crosswalk'!$A:$H,4,FALSE)</f>
        <v>0</v>
      </c>
      <c r="O98" s="74" t="str">
        <f>VLOOKUP($B98,'Standards Crosswalk'!$A:$H,5,FALSE)</f>
        <v>8.1.4</v>
      </c>
      <c r="P98" s="74">
        <f>VLOOKUP($B98,'Standards Crosswalk'!$A:$H,6,FALSE)</f>
        <v>0</v>
      </c>
      <c r="Q98" s="74">
        <f>VLOOKUP($B98,'Standards Crosswalk'!$A:$H,7,FALSE)</f>
        <v>0</v>
      </c>
      <c r="R98" s="74">
        <f>VLOOKUP($B98,'Standards Crosswalk'!$A:$H,8,FALSE)</f>
        <v>0</v>
      </c>
      <c r="S98" s="74">
        <f>VLOOKUP($B98,'Standards Crosswalk'!$A:$I,9,FALSE)</f>
        <v>12.8</v>
      </c>
    </row>
    <row r="99" spans="1:19" ht="29.25" thickBot="1" x14ac:dyDescent="0.25">
      <c r="A99" s="73">
        <f t="shared" si="4"/>
        <v>97</v>
      </c>
      <c r="B99" s="79" t="s">
        <v>270</v>
      </c>
      <c r="C99" s="80" t="str">
        <f>VLOOKUP(B99,HECVAT!A:E,2,FALSE)</f>
        <v>Can the institution extract a full backup of data?</v>
      </c>
      <c r="D99" s="73">
        <f>VLOOKUP(B99,HECVAT!A:E,4,FALSE)</f>
        <v>0</v>
      </c>
      <c r="E99" s="81" t="b">
        <f>IF(Table1[[#This Row],[Column11]]&gt;20,TRUE,FALSE)</f>
        <v>0</v>
      </c>
      <c r="F99" s="81" t="s">
        <v>2051</v>
      </c>
      <c r="G99" s="100" t="s">
        <v>17</v>
      </c>
      <c r="H99" s="83">
        <v>1</v>
      </c>
      <c r="I99" s="73">
        <f>VLOOKUP(B99,HECVAT!A:E,3,FALSE)</f>
        <v>0</v>
      </c>
      <c r="J99" s="73">
        <f>IF(Table1[[#This Row],[Column7]]=Table1[[#This Row],[Column9]],1,0)</f>
        <v>0</v>
      </c>
      <c r="K99" s="73">
        <f>IF(Table1[[#This Row],[Column8]]=1,15,"")</f>
        <v>15</v>
      </c>
      <c r="L99" s="73">
        <f>IF(Table1[[#This Row],[Column8]]=1,J99*K99,"")</f>
        <v>0</v>
      </c>
      <c r="M99" s="74">
        <f>VLOOKUP($B99,'Standards Crosswalk'!$A:$H,3,FALSE)</f>
        <v>0</v>
      </c>
      <c r="N99" s="74">
        <f>VLOOKUP($B99,'Standards Crosswalk'!$A:$H,4,FALSE)</f>
        <v>0</v>
      </c>
      <c r="O99" s="74" t="str">
        <f>VLOOKUP($B99,'Standards Crosswalk'!$A:$H,5,FALSE)</f>
        <v>12.3.1</v>
      </c>
      <c r="P99" s="74">
        <f>VLOOKUP($B99,'Standards Crosswalk'!$A:$H,6,FALSE)</f>
        <v>0</v>
      </c>
      <c r="Q99" s="74">
        <f>VLOOKUP($B99,'Standards Crosswalk'!$A:$H,7,FALSE)</f>
        <v>0</v>
      </c>
      <c r="R99" s="74">
        <f>VLOOKUP($B99,'Standards Crosswalk'!$A:$H,8,FALSE)</f>
        <v>0</v>
      </c>
      <c r="S99" s="74">
        <f>VLOOKUP($B99,'Standards Crosswalk'!$A:$I,9,FALSE)</f>
        <v>12.8</v>
      </c>
    </row>
    <row r="100" spans="1:19" ht="43.5" thickBot="1" x14ac:dyDescent="0.25">
      <c r="A100" s="73">
        <f t="shared" si="4"/>
        <v>98</v>
      </c>
      <c r="B100" s="79" t="s">
        <v>271</v>
      </c>
      <c r="C100" s="80" t="str">
        <f>VLOOKUP(B100,HECVAT!A:E,2,FALSE)</f>
        <v>Are ownership rights to all data, inputs, outputs, and metadata retained by the institution?</v>
      </c>
      <c r="D100" s="73">
        <f>VLOOKUP(B100,HECVAT!A:E,4,FALSE)</f>
        <v>0</v>
      </c>
      <c r="E100" s="81" t="b">
        <f>IF(Table1[[#This Row],[Column11]]&gt;20,TRUE,FALSE)</f>
        <v>1</v>
      </c>
      <c r="F100" s="81" t="s">
        <v>2051</v>
      </c>
      <c r="G100" s="100" t="s">
        <v>17</v>
      </c>
      <c r="H100" s="83">
        <v>1</v>
      </c>
      <c r="I100" s="73">
        <f>VLOOKUP(B100,HECVAT!A:E,3,FALSE)</f>
        <v>0</v>
      </c>
      <c r="J100" s="73">
        <f>IF(Table1[[#This Row],[Column7]]=Table1[[#This Row],[Column9]],1,0)</f>
        <v>0</v>
      </c>
      <c r="K100" s="73">
        <f>IF(Table1[[#This Row],[Column8]]=1,25,"")</f>
        <v>25</v>
      </c>
      <c r="L100" s="73">
        <f>IF(Table1[[#This Row],[Column8]]=1,J100*K100,"")</f>
        <v>0</v>
      </c>
      <c r="M100" s="74" t="str">
        <f>VLOOKUP($B100,'Standards Crosswalk'!$A:$H,3,FALSE)</f>
        <v>CSC 13</v>
      </c>
      <c r="N100" s="74">
        <f>VLOOKUP($B100,'Standards Crosswalk'!$A:$H,4,FALSE)</f>
        <v>0</v>
      </c>
      <c r="O100" s="74" t="str">
        <f>VLOOKUP($B100,'Standards Crosswalk'!$A:$H,5,FALSE)</f>
        <v>8.1.2</v>
      </c>
      <c r="P100" s="74">
        <f>VLOOKUP($B100,'Standards Crosswalk'!$A:$H,6,FALSE)</f>
        <v>0</v>
      </c>
      <c r="Q100" s="74" t="str">
        <f>VLOOKUP($B100,'Standards Crosswalk'!$A:$H,7,FALSE)</f>
        <v>3.8.1</v>
      </c>
      <c r="R100" s="74">
        <f>VLOOKUP($B100,'Standards Crosswalk'!$A:$H,8,FALSE)</f>
        <v>0</v>
      </c>
      <c r="S100" s="74">
        <f>VLOOKUP($B100,'Standards Crosswalk'!$A:$I,9,FALSE)</f>
        <v>12.8</v>
      </c>
    </row>
    <row r="101" spans="1:19" ht="43.5" thickBot="1" x14ac:dyDescent="0.25">
      <c r="A101" s="73">
        <f t="shared" si="4"/>
        <v>99</v>
      </c>
      <c r="B101" s="97" t="s">
        <v>272</v>
      </c>
      <c r="C101" s="80" t="str">
        <f>VLOOKUP(B101,HECVAT!A:E,2,FALSE)</f>
        <v>Are these rights retained even through a provider acquisition or bankruptcy event?</v>
      </c>
      <c r="D101" s="73">
        <f>VLOOKUP(B101,HECVAT!A:E,4,FALSE)</f>
        <v>0</v>
      </c>
      <c r="E101" s="81" t="b">
        <f>IF(Table1[[#This Row],[Column11]]&gt;20,TRUE,FALSE)</f>
        <v>0</v>
      </c>
      <c r="F101" s="81" t="s">
        <v>2051</v>
      </c>
      <c r="G101" s="100" t="s">
        <v>17</v>
      </c>
      <c r="H101" s="83">
        <f>IF(I100="Yes",1,0)</f>
        <v>0</v>
      </c>
      <c r="I101" s="73">
        <f>VLOOKUP(B101,HECVAT!A:E,3,FALSE)</f>
        <v>0</v>
      </c>
      <c r="J101" s="73">
        <f>IF(Table1[[#This Row],[Column7]]=Table1[[#This Row],[Column9]],1,0)</f>
        <v>0</v>
      </c>
      <c r="K101" s="73">
        <f>15*Table1[[#This Row],[Column8]]</f>
        <v>0</v>
      </c>
      <c r="L101" s="73" t="str">
        <f>IF(Table1[[#This Row],[Column8]]=1,J101*K101,"")</f>
        <v/>
      </c>
      <c r="M101" s="74" t="str">
        <f>VLOOKUP($B101,'Standards Crosswalk'!$A:$H,3,FALSE)</f>
        <v>CSC 13</v>
      </c>
      <c r="N101" s="74">
        <f>VLOOKUP($B101,'Standards Crosswalk'!$A:$H,4,FALSE)</f>
        <v>0</v>
      </c>
      <c r="O101" s="74" t="str">
        <f>VLOOKUP($B101,'Standards Crosswalk'!$A:$H,5,FALSE)</f>
        <v>8.1.2</v>
      </c>
      <c r="P101" s="74">
        <f>VLOOKUP($B101,'Standards Crosswalk'!$A:$H,6,FALSE)</f>
        <v>0</v>
      </c>
      <c r="Q101" s="74" t="str">
        <f>VLOOKUP($B101,'Standards Crosswalk'!$A:$H,7,FALSE)</f>
        <v>3.8.2</v>
      </c>
      <c r="R101" s="74">
        <f>VLOOKUP($B101,'Standards Crosswalk'!$A:$H,8,FALSE)</f>
        <v>0</v>
      </c>
      <c r="S101" s="74">
        <f>VLOOKUP($B101,'Standards Crosswalk'!$A:$I,9,FALSE)</f>
        <v>12.8</v>
      </c>
    </row>
    <row r="102" spans="1:19" ht="86.25" thickBot="1" x14ac:dyDescent="0.25">
      <c r="A102" s="73">
        <f t="shared" si="4"/>
        <v>100</v>
      </c>
      <c r="B102" s="79" t="s">
        <v>273</v>
      </c>
      <c r="C102" s="80" t="str">
        <f>VLOOKUP(B102,HECVAT!A:E,2,FALSE)</f>
        <v>In the event of imminent bankruptcy, closing of business, or retirement of service, will you provide 90 days for customers to get their data out of the system and migrate applications?</v>
      </c>
      <c r="D102" s="73">
        <f>VLOOKUP(B102,HECVAT!A:E,4,FALSE)</f>
        <v>0</v>
      </c>
      <c r="E102" s="81" t="b">
        <f>IF(Table1[[#This Row],[Column11]]&gt;20,TRUE,FALSE)</f>
        <v>0</v>
      </c>
      <c r="F102" s="81" t="s">
        <v>2051</v>
      </c>
      <c r="G102" s="100" t="s">
        <v>17</v>
      </c>
      <c r="H102" s="83">
        <v>1</v>
      </c>
      <c r="I102" s="73">
        <f>VLOOKUP(B102,HECVAT!A:E,3,FALSE)</f>
        <v>0</v>
      </c>
      <c r="J102" s="73">
        <f>IF(Table1[[#This Row],[Column7]]=Table1[[#This Row],[Column9]],1,0)</f>
        <v>0</v>
      </c>
      <c r="K102" s="73">
        <f>IF(Table1[[#This Row],[Column8]]=1,15,"")</f>
        <v>15</v>
      </c>
      <c r="L102" s="73">
        <f>IF(Table1[[#This Row],[Column8]]=1,J102*K102,"")</f>
        <v>0</v>
      </c>
      <c r="M102" s="74" t="str">
        <f>VLOOKUP($B102,'Standards Crosswalk'!$A:$H,3,FALSE)</f>
        <v>CAC 13</v>
      </c>
      <c r="N102" s="74">
        <f>VLOOKUP($B102,'Standards Crosswalk'!$A:$H,4,FALSE)</f>
        <v>0</v>
      </c>
      <c r="O102" s="74" t="str">
        <f>VLOOKUP($B102,'Standards Crosswalk'!$A:$H,5,FALSE)</f>
        <v>8.1.2</v>
      </c>
      <c r="P102" s="74">
        <f>VLOOKUP($B102,'Standards Crosswalk'!$A:$H,6,FALSE)</f>
        <v>0</v>
      </c>
      <c r="Q102" s="74" t="str">
        <f>VLOOKUP($B102,'Standards Crosswalk'!$A:$H,7,FALSE)</f>
        <v>3.8.1</v>
      </c>
      <c r="R102" s="74">
        <f>VLOOKUP($B102,'Standards Crosswalk'!$A:$H,8,FALSE)</f>
        <v>0</v>
      </c>
      <c r="S102" s="74">
        <f>VLOOKUP($B102,'Standards Crosswalk'!$A:$I,9,FALSE)</f>
        <v>12.8</v>
      </c>
    </row>
    <row r="103" spans="1:19" ht="57.75" thickBot="1" x14ac:dyDescent="0.25">
      <c r="A103" s="73">
        <f t="shared" si="4"/>
        <v>101</v>
      </c>
      <c r="B103" s="79" t="s">
        <v>274</v>
      </c>
      <c r="C103" s="80" t="str">
        <f>VLOOKUP(B103,HECVAT!A:E,2,FALSE)</f>
        <v xml:space="preserve">Describe or provide a reference to the backup processes for the servers on which the service and/or data resides. </v>
      </c>
      <c r="D103" s="73">
        <f>VLOOKUP(B103,HECVAT!A:E,4,FALSE)</f>
        <v>0</v>
      </c>
      <c r="E103" s="81" t="b">
        <f>IF(Table1[[#This Row],[Column11]]&gt;20,TRUE,FALSE)</f>
        <v>0</v>
      </c>
      <c r="F103" s="81" t="s">
        <v>2051</v>
      </c>
      <c r="G103" s="100"/>
      <c r="H103" s="83">
        <v>1</v>
      </c>
      <c r="I103" s="73">
        <f>VLOOKUP(B103,HECVAT!A:E,3,FALSE)</f>
        <v>0</v>
      </c>
      <c r="J103" s="73">
        <f>IF(VLOOKUP(Table1[[#This Row],[Column2]],'Analyst Report'!$A$41:$G$88,7,FALSE)="Yes",1,0)</f>
        <v>0</v>
      </c>
      <c r="K103" s="73">
        <f>IF(Table1[[#This Row],[Column8]]=1,20,"")</f>
        <v>20</v>
      </c>
      <c r="L103" s="73">
        <f>IF(Table1[[#This Row],[Column8]]=1,J103*K103,"")</f>
        <v>0</v>
      </c>
      <c r="M103" s="74" t="str">
        <f>VLOOKUP($B103,'Standards Crosswalk'!$A:$H,3,FALSE)</f>
        <v>CSC 10</v>
      </c>
      <c r="N103" s="74">
        <f>VLOOKUP($B103,'Standards Crosswalk'!$A:$H,4,FALSE)</f>
        <v>0</v>
      </c>
      <c r="O103" s="74" t="str">
        <f>VLOOKUP($B103,'Standards Crosswalk'!$A:$H,5,FALSE)</f>
        <v>12.3.1</v>
      </c>
      <c r="P103" s="74" t="str">
        <f>VLOOKUP($B103,'Standards Crosswalk'!$A:$H,6,FALSE)</f>
        <v>PR.IP-4</v>
      </c>
      <c r="Q103" s="74" t="str">
        <f>VLOOKUP($B103,'Standards Crosswalk'!$A:$H,7,FALSE)</f>
        <v>3.8.9</v>
      </c>
      <c r="R103" s="74" t="str">
        <f>VLOOKUP($B103,'Standards Crosswalk'!$A:$H,8,FALSE)</f>
        <v>CP-9</v>
      </c>
      <c r="S103" s="74" t="str">
        <f>VLOOKUP($B103,'Standards Crosswalk'!$A:$I,9,FALSE)</f>
        <v>9.x</v>
      </c>
    </row>
    <row r="104" spans="1:19" ht="43.5" thickBot="1" x14ac:dyDescent="0.25">
      <c r="A104" s="73">
        <f t="shared" si="4"/>
        <v>102</v>
      </c>
      <c r="B104" s="79" t="s">
        <v>275</v>
      </c>
      <c r="C104" s="80" t="str">
        <f>VLOOKUP(B104,HECVAT!A:E,2,FALSE)</f>
        <v>Are backup copies made according to pre-defined schedules and securely stored and protected?</v>
      </c>
      <c r="D104" s="73">
        <f>VLOOKUP(B104,HECVAT!A:E,4,FALSE)</f>
        <v>0</v>
      </c>
      <c r="E104" s="81" t="b">
        <f>IF(Table1[[#This Row],[Column11]]&gt;20,TRUE,FALSE)</f>
        <v>0</v>
      </c>
      <c r="F104" s="81" t="s">
        <v>2051</v>
      </c>
      <c r="G104" s="100" t="s">
        <v>17</v>
      </c>
      <c r="H104" s="83">
        <v>1</v>
      </c>
      <c r="I104" s="73">
        <f>VLOOKUP(B104,HECVAT!A:E,3,FALSE)</f>
        <v>0</v>
      </c>
      <c r="J104" s="73">
        <f>IF(Table1[[#This Row],[Column7]]=Table1[[#This Row],[Column9]],1,0)</f>
        <v>0</v>
      </c>
      <c r="K104" s="73">
        <f>IF(Table1[[#This Row],[Column8]]=1,20,"")</f>
        <v>20</v>
      </c>
      <c r="L104" s="73">
        <f>IF(Table1[[#This Row],[Column8]]=1,J104*K104,"")</f>
        <v>0</v>
      </c>
      <c r="M104" s="74" t="str">
        <f>VLOOKUP($B104,'Standards Crosswalk'!$A:$H,3,FALSE)</f>
        <v>CSC 10</v>
      </c>
      <c r="N104" s="74">
        <f>VLOOKUP($B104,'Standards Crosswalk'!$A:$H,4,FALSE)</f>
        <v>0</v>
      </c>
      <c r="O104" s="74" t="str">
        <f>VLOOKUP($B104,'Standards Crosswalk'!$A:$H,5,FALSE)</f>
        <v>12.3.1</v>
      </c>
      <c r="P104" s="74" t="str">
        <f>VLOOKUP($B104,'Standards Crosswalk'!$A:$H,6,FALSE)</f>
        <v>PR.IP-4</v>
      </c>
      <c r="Q104" s="74" t="str">
        <f>VLOOKUP($B104,'Standards Crosswalk'!$A:$H,7,FALSE)</f>
        <v>3.8.9</v>
      </c>
      <c r="R104" s="74" t="str">
        <f>VLOOKUP($B104,'Standards Crosswalk'!$A:$H,8,FALSE)</f>
        <v>CP-9</v>
      </c>
      <c r="S104" s="74">
        <f>VLOOKUP($B104,'Standards Crosswalk'!$A:$I,9,FALSE)</f>
        <v>12.8</v>
      </c>
    </row>
    <row r="105" spans="1:19" ht="15" thickBot="1" x14ac:dyDescent="0.25">
      <c r="A105" s="73">
        <f t="shared" si="4"/>
        <v>103</v>
      </c>
      <c r="B105" s="79" t="s">
        <v>276</v>
      </c>
      <c r="C105" s="80" t="str">
        <f>VLOOKUP(B105,HECVAT!A:E,2,FALSE)</f>
        <v>How long are data backups stored?</v>
      </c>
      <c r="D105" s="73">
        <f>VLOOKUP(B105,HECVAT!A:E,4,FALSE)</f>
        <v>0</v>
      </c>
      <c r="E105" s="81" t="b">
        <f>IF(Table1[[#This Row],[Column11]]&gt;20,TRUE,FALSE)</f>
        <v>0</v>
      </c>
      <c r="F105" s="81" t="s">
        <v>2051</v>
      </c>
      <c r="G105" s="100"/>
      <c r="H105" s="83">
        <v>1</v>
      </c>
      <c r="I105" s="73">
        <f>VLOOKUP(B105,HECVAT!A:E,3,FALSE)</f>
        <v>0</v>
      </c>
      <c r="J105" s="73">
        <f>IF(VLOOKUP(Table1[[#This Row],[Column2]],'Analyst Report'!$A$41:$G$88,7,FALSE)="Yes",1,0)</f>
        <v>0</v>
      </c>
      <c r="K105" s="73">
        <f>IF(Table1[[#This Row],[Column8]]=1,20,"")</f>
        <v>20</v>
      </c>
      <c r="L105" s="73">
        <f>IF(Table1[[#This Row],[Column8]]=1,J105*K105,"")</f>
        <v>0</v>
      </c>
      <c r="M105" s="74" t="str">
        <f>VLOOKUP($B105,'Standards Crosswalk'!$A:$H,3,FALSE)</f>
        <v>CSC 10</v>
      </c>
      <c r="N105" s="74">
        <f>VLOOKUP($B105,'Standards Crosswalk'!$A:$H,4,FALSE)</f>
        <v>0</v>
      </c>
      <c r="O105" s="74" t="str">
        <f>VLOOKUP($B105,'Standards Crosswalk'!$A:$H,5,FALSE)</f>
        <v>12.3.1</v>
      </c>
      <c r="P105" s="74" t="str">
        <f>VLOOKUP($B105,'Standards Crosswalk'!$A:$H,6,FALSE)</f>
        <v>PR.IP-4</v>
      </c>
      <c r="Q105" s="74" t="str">
        <f>VLOOKUP($B105,'Standards Crosswalk'!$A:$H,7,FALSE)</f>
        <v>3.8.9</v>
      </c>
      <c r="R105" s="74" t="str">
        <f>VLOOKUP($B105,'Standards Crosswalk'!$A:$H,8,FALSE)</f>
        <v>CP-9</v>
      </c>
      <c r="S105" s="74">
        <f>VLOOKUP($B105,'Standards Crosswalk'!$A:$I,9,FALSE)</f>
        <v>0</v>
      </c>
    </row>
    <row r="106" spans="1:19" ht="29.25" thickBot="1" x14ac:dyDescent="0.25">
      <c r="A106" s="73">
        <f t="shared" si="4"/>
        <v>104</v>
      </c>
      <c r="B106" s="79" t="s">
        <v>277</v>
      </c>
      <c r="C106" s="80" t="str">
        <f>VLOOKUP(B106,HECVAT!A:E,2,FALSE)</f>
        <v>Are data backups encrypted?</v>
      </c>
      <c r="D106" s="73">
        <f>VLOOKUP(B106,HECVAT!A:E,4,FALSE)</f>
        <v>0</v>
      </c>
      <c r="E106" s="81" t="b">
        <f>IF(Table1[[#This Row],[Column11]]&gt;20,TRUE,FALSE)</f>
        <v>1</v>
      </c>
      <c r="F106" s="81" t="s">
        <v>2051</v>
      </c>
      <c r="G106" s="100" t="s">
        <v>17</v>
      </c>
      <c r="H106" s="83">
        <v>1</v>
      </c>
      <c r="I106" s="73">
        <f>VLOOKUP(B106,HECVAT!A:E,3,FALSE)</f>
        <v>0</v>
      </c>
      <c r="J106" s="73">
        <f>IF(Table1[[#This Row],[Column7]]=Table1[[#This Row],[Column9]],1,0)</f>
        <v>0</v>
      </c>
      <c r="K106" s="73">
        <f>IF(Table1[[#This Row],[Column8]]=1,25,"")</f>
        <v>25</v>
      </c>
      <c r="L106" s="73">
        <f>IF(Table1[[#This Row],[Column8]]=1,J106*K106,"")</f>
        <v>0</v>
      </c>
      <c r="M106" s="74" t="str">
        <f>VLOOKUP($B106,'Standards Crosswalk'!$A:$H,3,FALSE)</f>
        <v>CSC 10</v>
      </c>
      <c r="N106" s="74">
        <f>VLOOKUP($B106,'Standards Crosswalk'!$A:$H,4,FALSE)</f>
        <v>0</v>
      </c>
      <c r="O106" s="74" t="str">
        <f>VLOOKUP($B106,'Standards Crosswalk'!$A:$H,5,FALSE)</f>
        <v>12.3.1</v>
      </c>
      <c r="P106" s="74" t="str">
        <f>VLOOKUP($B106,'Standards Crosswalk'!$A:$H,6,FALSE)</f>
        <v>PR.DS-1, PR.IP-4</v>
      </c>
      <c r="Q106" s="74" t="str">
        <f>VLOOKUP($B106,'Standards Crosswalk'!$A:$H,7,FALSE)</f>
        <v>3.8.9</v>
      </c>
      <c r="R106" s="74" t="str">
        <f>VLOOKUP($B106,'Standards Crosswalk'!$A:$H,8,FALSE)</f>
        <v>CP-9</v>
      </c>
      <c r="S106" s="74">
        <f>VLOOKUP($B106,'Standards Crosswalk'!$A:$I,9,FALSE)</f>
        <v>0</v>
      </c>
    </row>
    <row r="107" spans="1:19" ht="114.75" thickBot="1" x14ac:dyDescent="0.25">
      <c r="A107" s="73">
        <f t="shared" si="4"/>
        <v>105</v>
      </c>
      <c r="B107" s="97" t="s">
        <v>278</v>
      </c>
      <c r="C107" s="80" t="str">
        <f>VLOOKUP(B107,HECVAT!A:E,2,FALSE)</f>
        <v>Do you have a cryptographic key management process (generation, exchange, storage, safeguards, use, vetting, and replacement), that is documented and currently implemented, for all system components? (e.g. database, system, web, etc.)</v>
      </c>
      <c r="D107" s="73">
        <f>VLOOKUP(B107,HECVAT!A:E,4,FALSE)</f>
        <v>0</v>
      </c>
      <c r="E107" s="81" t="b">
        <f>IF(Table1[[#This Row],[Column11]]&gt;20,TRUE,FALSE)</f>
        <v>0</v>
      </c>
      <c r="F107" s="81" t="s">
        <v>2051</v>
      </c>
      <c r="G107" s="100" t="s">
        <v>17</v>
      </c>
      <c r="H107" s="83">
        <v>1</v>
      </c>
      <c r="I107" s="73">
        <f>VLOOKUP(B107,HECVAT!A:E,3,FALSE)</f>
        <v>0</v>
      </c>
      <c r="J107" s="73">
        <f>IF(Table1[[#This Row],[Column7]]=Table1[[#This Row],[Column9]],1,0)</f>
        <v>0</v>
      </c>
      <c r="K107" s="73">
        <f>IF(Table1[[#This Row],[Column8]]=1,15,"")</f>
        <v>15</v>
      </c>
      <c r="L107" s="73">
        <f>IF(Table1[[#This Row],[Column8]]=1,J107*K107,"")</f>
        <v>0</v>
      </c>
      <c r="M107" s="74" t="str">
        <f>VLOOKUP($B107,'Standards Crosswalk'!$A:$H,3,FALSE)</f>
        <v>CSC 10</v>
      </c>
      <c r="N107" s="74">
        <f>VLOOKUP($B107,'Standards Crosswalk'!$A:$H,4,FALSE)</f>
        <v>0</v>
      </c>
      <c r="O107" s="74" t="str">
        <f>VLOOKUP($B107,'Standards Crosswalk'!$A:$H,5,FALSE)</f>
        <v>10.1.2</v>
      </c>
      <c r="P107" s="74">
        <f>VLOOKUP($B107,'Standards Crosswalk'!$A:$H,6,FALSE)</f>
        <v>0</v>
      </c>
      <c r="Q107" s="74" t="str">
        <f>VLOOKUP($B107,'Standards Crosswalk'!$A:$H,7,FALSE)</f>
        <v>3.13.10</v>
      </c>
      <c r="R107" s="74" t="str">
        <f>VLOOKUP($B107,'Standards Crosswalk'!$A:$H,8,FALSE)</f>
        <v>SC-28, SC-13, FIPS PUB 140-2</v>
      </c>
      <c r="S107" s="74">
        <f>VLOOKUP($B107,'Standards Crosswalk'!$A:$I,9,FALSE)</f>
        <v>0</v>
      </c>
    </row>
    <row r="108" spans="1:19" ht="43.5" thickBot="1" x14ac:dyDescent="0.25">
      <c r="A108" s="73">
        <f t="shared" si="4"/>
        <v>106</v>
      </c>
      <c r="B108" s="79" t="s">
        <v>280</v>
      </c>
      <c r="C108" s="80" t="str">
        <f>VLOOKUP(B108,HECVAT!A:E,2,FALSE)</f>
        <v>Are you performing off site backups? (i.e. digitally moved off site)</v>
      </c>
      <c r="D108" s="73">
        <f>VLOOKUP(B108,HECVAT!A:E,4,FALSE)</f>
        <v>0</v>
      </c>
      <c r="E108" s="81" t="b">
        <f>IF(Table1[[#This Row],[Column11]]&gt;20,TRUE,FALSE)</f>
        <v>0</v>
      </c>
      <c r="F108" s="81" t="s">
        <v>2051</v>
      </c>
      <c r="G108" s="100" t="s">
        <v>17</v>
      </c>
      <c r="H108" s="83">
        <v>1</v>
      </c>
      <c r="I108" s="73">
        <f>VLOOKUP(B108,HECVAT!A:E,3,FALSE)</f>
        <v>0</v>
      </c>
      <c r="J108" s="73">
        <f>IF(Table1[[#This Row],[Column7]]=Table1[[#This Row],[Column9]],1,0)</f>
        <v>0</v>
      </c>
      <c r="K108" s="73">
        <f>IF(Table1[[#This Row],[Column8]]=1,10,"")</f>
        <v>10</v>
      </c>
      <c r="L108" s="73">
        <f>IF(Table1[[#This Row],[Column8]]=1,J108*K108,"")</f>
        <v>0</v>
      </c>
      <c r="M108" s="74" t="str">
        <f>VLOOKUP($B108,'Standards Crosswalk'!$A:$H,3,FALSE)</f>
        <v>CSC 10</v>
      </c>
      <c r="N108" s="74">
        <f>VLOOKUP($B108,'Standards Crosswalk'!$A:$H,4,FALSE)</f>
        <v>0</v>
      </c>
      <c r="O108" s="74" t="str">
        <f>VLOOKUP($B108,'Standards Crosswalk'!$A:$H,5,FALSE)</f>
        <v>12.3.1</v>
      </c>
      <c r="P108" s="74" t="str">
        <f>VLOOKUP($B108,'Standards Crosswalk'!$A:$H,6,FALSE)</f>
        <v>PR.IP-4</v>
      </c>
      <c r="Q108" s="74" t="str">
        <f>VLOOKUP($B108,'Standards Crosswalk'!$A:$H,7,FALSE)</f>
        <v>3.8.1, 3.8.9</v>
      </c>
      <c r="R108" s="74" t="str">
        <f>VLOOKUP($B108,'Standards Crosswalk'!$A:$H,8,FALSE)</f>
        <v>CP-9</v>
      </c>
      <c r="S108" s="74" t="str">
        <f>VLOOKUP($B108,'Standards Crosswalk'!$A:$I,9,FALSE)</f>
        <v>9.x</v>
      </c>
    </row>
    <row r="109" spans="1:19" ht="29.25" thickBot="1" x14ac:dyDescent="0.25">
      <c r="A109" s="73">
        <f t="shared" si="4"/>
        <v>107</v>
      </c>
      <c r="B109" s="79" t="s">
        <v>281</v>
      </c>
      <c r="C109" s="80" t="str">
        <f>VLOOKUP(B109,HECVAT!A:E,2,FALSE)</f>
        <v>Are physical backups taken off site? (i.e. physically moved off site)</v>
      </c>
      <c r="D109" s="73">
        <f>VLOOKUP(B109,HECVAT!A:E,4,FALSE)</f>
        <v>0</v>
      </c>
      <c r="E109" s="81" t="b">
        <f>IF(Table1[[#This Row],[Column11]]&gt;20,TRUE,FALSE)</f>
        <v>0</v>
      </c>
      <c r="F109" s="81" t="s">
        <v>2051</v>
      </c>
      <c r="G109" s="100" t="s">
        <v>17</v>
      </c>
      <c r="H109" s="83">
        <v>1</v>
      </c>
      <c r="I109" s="73">
        <f>VLOOKUP(B109,HECVAT!A:E,3,FALSE)</f>
        <v>0</v>
      </c>
      <c r="J109" s="73">
        <f>IF(Table1[[#This Row],[Column7]]=Table1[[#This Row],[Column9]],1,0)</f>
        <v>0</v>
      </c>
      <c r="K109" s="73">
        <f>IF(Table1[[#This Row],[Column8]]=1,20,"")</f>
        <v>20</v>
      </c>
      <c r="L109" s="73">
        <f>IF(Table1[[#This Row],[Column8]]=1,J109*K109,"")</f>
        <v>0</v>
      </c>
      <c r="M109" s="74" t="str">
        <f>VLOOKUP($B109,'Standards Crosswalk'!$A:$H,3,FALSE)</f>
        <v>CSC 10</v>
      </c>
      <c r="N109" s="74">
        <f>VLOOKUP($B109,'Standards Crosswalk'!$A:$H,4,FALSE)</f>
        <v>0</v>
      </c>
      <c r="O109" s="74" t="str">
        <f>VLOOKUP($B109,'Standards Crosswalk'!$A:$H,5,FALSE)</f>
        <v>12.3.1</v>
      </c>
      <c r="P109" s="74" t="str">
        <f>VLOOKUP($B109,'Standards Crosswalk'!$A:$H,6,FALSE)</f>
        <v>PR.IP-4</v>
      </c>
      <c r="Q109" s="74" t="str">
        <f>VLOOKUP($B109,'Standards Crosswalk'!$A:$H,7,FALSE)</f>
        <v>3.8.1, 3.8.5, 3.8.9</v>
      </c>
      <c r="R109" s="74" t="str">
        <f>VLOOKUP($B109,'Standards Crosswalk'!$A:$H,8,FALSE)</f>
        <v>CP-9, MP-5</v>
      </c>
      <c r="S109" s="74" t="str">
        <f>VLOOKUP($B109,'Standards Crosswalk'!$A:$I,9,FALSE)</f>
        <v>9.x</v>
      </c>
    </row>
    <row r="110" spans="1:19" ht="57.75" thickBot="1" x14ac:dyDescent="0.25">
      <c r="A110" s="73">
        <f t="shared" si="4"/>
        <v>108</v>
      </c>
      <c r="B110" s="79" t="s">
        <v>282</v>
      </c>
      <c r="C110" s="80" t="str">
        <f>VLOOKUP(B110,HECVAT!A:E,2,FALSE)</f>
        <v>Do backups containing the institution's data ever leave the Institution's Data Zone either physically or via network routing?</v>
      </c>
      <c r="D110" s="73">
        <f>VLOOKUP(B110,HECVAT!A:E,4,FALSE)</f>
        <v>0</v>
      </c>
      <c r="E110" s="81" t="b">
        <f>IF(Table1[[#This Row],[Column11]]&gt;20,TRUE,FALSE)</f>
        <v>0</v>
      </c>
      <c r="F110" s="81" t="s">
        <v>2051</v>
      </c>
      <c r="G110" s="100" t="s">
        <v>21</v>
      </c>
      <c r="H110" s="83">
        <v>1</v>
      </c>
      <c r="I110" s="73">
        <f>VLOOKUP(B110,HECVAT!A:E,3,FALSE)</f>
        <v>0</v>
      </c>
      <c r="J110" s="73">
        <f>IF(Table1[[#This Row],[Column7]]=Table1[[#This Row],[Column9]],1,0)</f>
        <v>0</v>
      </c>
      <c r="K110" s="73">
        <f>IF(Table1[[#This Row],[Column8]]=1,20,"")</f>
        <v>20</v>
      </c>
      <c r="L110" s="73">
        <f>IF(Table1[[#This Row],[Column8]]=1,J110*K110,"")</f>
        <v>0</v>
      </c>
      <c r="M110" s="74" t="str">
        <f>VLOOKUP($B110,'Standards Crosswalk'!$A:$H,3,FALSE)</f>
        <v>CSC 13</v>
      </c>
      <c r="N110" s="74">
        <f>VLOOKUP($B110,'Standards Crosswalk'!$A:$H,4,FALSE)</f>
        <v>0</v>
      </c>
      <c r="O110" s="74" t="str">
        <f>VLOOKUP($B110,'Standards Crosswalk'!$A:$H,5,FALSE)</f>
        <v>12.3.1</v>
      </c>
      <c r="P110" s="74">
        <f>VLOOKUP($B110,'Standards Crosswalk'!$A:$H,6,FALSE)</f>
        <v>0</v>
      </c>
      <c r="Q110" s="74" t="str">
        <f>VLOOKUP($B110,'Standards Crosswalk'!$A:$H,7,FALSE)</f>
        <v>3.8.9</v>
      </c>
      <c r="R110" s="74" t="str">
        <f>VLOOKUP($B110,'Standards Crosswalk'!$A:$H,8,FALSE)</f>
        <v>CP-9, MP-5</v>
      </c>
      <c r="S110" s="74">
        <f>VLOOKUP($B110,'Standards Crosswalk'!$A:$I,9,FALSE)</f>
        <v>12.8</v>
      </c>
    </row>
    <row r="111" spans="1:19" ht="114.75" thickBot="1" x14ac:dyDescent="0.25">
      <c r="A111" s="73">
        <f t="shared" si="4"/>
        <v>109</v>
      </c>
      <c r="B111" s="79" t="s">
        <v>283</v>
      </c>
      <c r="C111" s="80" t="str">
        <f>VLOOKUP(B111,HECVAT!A:E,2,FALSE)</f>
        <v>Do you have a media handling process, that is documented and currently implemented, including end-of-life, repurposing, and data sanitization procedures?</v>
      </c>
      <c r="D111" s="73">
        <f>VLOOKUP(B111,HECVAT!A:E,4,FALSE)</f>
        <v>0</v>
      </c>
      <c r="E111" s="81" t="b">
        <f>IF(Table1[[#This Row],[Column11]]&gt;20,TRUE,FALSE)</f>
        <v>1</v>
      </c>
      <c r="F111" s="81" t="s">
        <v>2051</v>
      </c>
      <c r="G111" s="100" t="s">
        <v>17</v>
      </c>
      <c r="H111" s="83">
        <v>1</v>
      </c>
      <c r="I111" s="73">
        <f>VLOOKUP(B111,HECVAT!A:E,3,FALSE)</f>
        <v>0</v>
      </c>
      <c r="J111" s="73">
        <f>IF(Table1[[#This Row],[Column7]]=Table1[[#This Row],[Column9]],1,0)</f>
        <v>0</v>
      </c>
      <c r="K111" s="73">
        <f>IF(Table1[[#This Row],[Column8]]=1,25,"")</f>
        <v>25</v>
      </c>
      <c r="L111" s="73">
        <f>IF(Table1[[#This Row],[Column8]]=1,J111*K111,"")</f>
        <v>0</v>
      </c>
      <c r="M111" s="74" t="str">
        <f>VLOOKUP($B111,'Standards Crosswalk'!$A:$H,3,FALSE)</f>
        <v>CSC 13</v>
      </c>
      <c r="N111" s="74">
        <f>VLOOKUP($B111,'Standards Crosswalk'!$A:$H,4,FALSE)</f>
        <v>0</v>
      </c>
      <c r="O111" s="74" t="str">
        <f>VLOOKUP($B111,'Standards Crosswalk'!$A:$H,5,FALSE)</f>
        <v>8.3.1</v>
      </c>
      <c r="P111" s="74" t="str">
        <f>VLOOKUP($B111,'Standards Crosswalk'!$A:$H,6,FALSE)</f>
        <v>PR.DS-3</v>
      </c>
      <c r="Q111" s="74" t="str">
        <f>VLOOKUP($B111,'Standards Crosswalk'!$A:$H,7,FALSE)</f>
        <v>3.7.1, 3.7.2, 3.8.3</v>
      </c>
      <c r="R111" s="74" t="str">
        <f>VLOOKUP($B111,'Standards Crosswalk'!$A:$H,8,FALSE)</f>
        <v>CP-9 MP-6, NIST SP 800-60, NIST SP 800-88, AC-2, AC-6, IA-4, PM-2, PM-10, SI-5, MA-2, MA-3, MP-6</v>
      </c>
      <c r="S111" s="74" t="str">
        <f>VLOOKUP($B111,'Standards Crosswalk'!$A:$I,9,FALSE)</f>
        <v>9.x</v>
      </c>
    </row>
    <row r="112" spans="1:19" ht="43.5" thickBot="1" x14ac:dyDescent="0.25">
      <c r="A112" s="73">
        <f t="shared" si="4"/>
        <v>110</v>
      </c>
      <c r="B112" s="79" t="s">
        <v>284</v>
      </c>
      <c r="C112" s="80" t="str">
        <f>VLOOKUP(B112,HECVAT!A:E,2,FALSE)</f>
        <v>Does the process described in DATA-23 adhere to DoD 5220.22-M and/or NIST SP 800-88 standards?</v>
      </c>
      <c r="D112" s="73">
        <f>VLOOKUP(B112,HECVAT!A:E,4,FALSE)</f>
        <v>0</v>
      </c>
      <c r="E112" s="81" t="b">
        <f>IF(Table1[[#This Row],[Column11]]&gt;20,TRUE,FALSE)</f>
        <v>0</v>
      </c>
      <c r="F112" s="81" t="s">
        <v>2051</v>
      </c>
      <c r="G112" s="100" t="s">
        <v>17</v>
      </c>
      <c r="H112" s="83">
        <v>1</v>
      </c>
      <c r="I112" s="73">
        <f>VLOOKUP(B112,HECVAT!A:E,3,FALSE)</f>
        <v>0</v>
      </c>
      <c r="J112" s="73">
        <f>IF(Table1[[#This Row],[Column7]]=Table1[[#This Row],[Column9]],1,0)</f>
        <v>0</v>
      </c>
      <c r="K112" s="73">
        <f>IF(Table1[[#This Row],[Column8]]=1,15,"")</f>
        <v>15</v>
      </c>
      <c r="L112" s="73">
        <f>IF(Table1[[#This Row],[Column8]]=1,J112*K112,"")</f>
        <v>0</v>
      </c>
      <c r="M112" s="74" t="str">
        <f>VLOOKUP($B112,'Standards Crosswalk'!$A:$H,3,FALSE)</f>
        <v>CSC 13</v>
      </c>
      <c r="N112" s="74">
        <f>VLOOKUP($B112,'Standards Crosswalk'!$A:$H,4,FALSE)</f>
        <v>0</v>
      </c>
      <c r="O112" s="74" t="str">
        <f>VLOOKUP($B112,'Standards Crosswalk'!$A:$H,5,FALSE)</f>
        <v>8.3.1, 18.1.1</v>
      </c>
      <c r="P112" s="74" t="str">
        <f>VLOOKUP($B112,'Standards Crosswalk'!$A:$H,6,FALSE)</f>
        <v>PR.DS-3</v>
      </c>
      <c r="Q112" s="74" t="str">
        <f>VLOOKUP($B112,'Standards Crosswalk'!$A:$H,7,FALSE)</f>
        <v>3.7.3, 3.8.3,</v>
      </c>
      <c r="R112" s="74" t="str">
        <f>VLOOKUP($B112,'Standards Crosswalk'!$A:$H,8,FALSE)</f>
        <v>AC-2, AC-6, IA-4, PM-2, PM-10, SI-5, MA-2</v>
      </c>
      <c r="S112" s="74">
        <f>VLOOKUP($B112,'Standards Crosswalk'!$A:$I,9,FALSE)</f>
        <v>0</v>
      </c>
    </row>
    <row r="113" spans="1:19" ht="57.75" thickBot="1" x14ac:dyDescent="0.25">
      <c r="A113" s="73">
        <f t="shared" si="4"/>
        <v>111</v>
      </c>
      <c r="B113" s="79" t="s">
        <v>285</v>
      </c>
      <c r="C113" s="80" t="str">
        <f>VLOOKUP(B113,HECVAT!A:E,2,FALSE)</f>
        <v>Do procedures exist to ensure that retention and destruction of data meets established business and regulatory requirements?</v>
      </c>
      <c r="D113" s="73">
        <f>VLOOKUP(B113,HECVAT!A:E,4,FALSE)</f>
        <v>0</v>
      </c>
      <c r="E113" s="81" t="b">
        <f>IF(Table1[[#This Row],[Column11]]&gt;20,TRUE,FALSE)</f>
        <v>0</v>
      </c>
      <c r="F113" s="81" t="s">
        <v>2051</v>
      </c>
      <c r="G113" s="100" t="s">
        <v>17</v>
      </c>
      <c r="H113" s="83">
        <v>1</v>
      </c>
      <c r="I113" s="73">
        <f>VLOOKUP(B113,HECVAT!A:E,3,FALSE)</f>
        <v>0</v>
      </c>
      <c r="J113" s="73">
        <f>IF(Table1[[#This Row],[Column7]]=Table1[[#This Row],[Column9]],1,0)</f>
        <v>0</v>
      </c>
      <c r="K113" s="73">
        <f>IF(Table1[[#This Row],[Column8]]=1,20,"")</f>
        <v>20</v>
      </c>
      <c r="L113" s="73">
        <f>IF(Table1[[#This Row],[Column8]]=1,J113*K113,"")</f>
        <v>0</v>
      </c>
      <c r="M113" s="74" t="str">
        <f>VLOOKUP($B113,'Standards Crosswalk'!$A:$H,3,FALSE)</f>
        <v>CSC 13</v>
      </c>
      <c r="N113" s="74">
        <f>VLOOKUP($B113,'Standards Crosswalk'!$A:$H,4,FALSE)</f>
        <v>0</v>
      </c>
      <c r="O113" s="74" t="str">
        <f>VLOOKUP($B113,'Standards Crosswalk'!$A:$H,5,FALSE)</f>
        <v>8.3.1, 18.1.1</v>
      </c>
      <c r="P113" s="74" t="str">
        <f>VLOOKUP($B113,'Standards Crosswalk'!$A:$H,6,FALSE)</f>
        <v>PR.DS-3, ID.GV-3</v>
      </c>
      <c r="Q113" s="74" t="str">
        <f>VLOOKUP($B113,'Standards Crosswalk'!$A:$H,7,FALSE)</f>
        <v>3.7.3, 3.8.3,</v>
      </c>
      <c r="R113" s="74" t="str">
        <f>VLOOKUP($B113,'Standards Crosswalk'!$A:$H,8,FALSE)</f>
        <v>SI-12, AC-2, AC-6, IA-4, PM-2, PM-10, SI-5, MA-2</v>
      </c>
      <c r="S113" s="74">
        <f>VLOOKUP($B113,'Standards Crosswalk'!$A:$I,9,FALSE)</f>
        <v>0</v>
      </c>
    </row>
    <row r="114" spans="1:19" ht="57.75" thickBot="1" x14ac:dyDescent="0.25">
      <c r="A114" s="73">
        <f t="shared" si="4"/>
        <v>112</v>
      </c>
      <c r="B114" s="79" t="s">
        <v>286</v>
      </c>
      <c r="C114" s="80" t="str">
        <f>VLOOKUP(B114,HECVAT!A:E,2,FALSE)</f>
        <v>Is media used for long-term retention of business data and archival purposes stored in a secure, environmentally protected area?</v>
      </c>
      <c r="D114" s="73">
        <f>VLOOKUP(B114,HECVAT!A:E,4,FALSE)</f>
        <v>0</v>
      </c>
      <c r="E114" s="81" t="b">
        <f>IF(Table1[[#This Row],[Column11]]&gt;20,TRUE,FALSE)</f>
        <v>0</v>
      </c>
      <c r="F114" s="81" t="s">
        <v>2051</v>
      </c>
      <c r="G114" s="100" t="s">
        <v>17</v>
      </c>
      <c r="H114" s="83">
        <v>1</v>
      </c>
      <c r="I114" s="73">
        <f>VLOOKUP(B114,HECVAT!A:E,3,FALSE)</f>
        <v>0</v>
      </c>
      <c r="J114" s="73">
        <f>IF(Table1[[#This Row],[Column7]]=Table1[[#This Row],[Column9]],1,0)</f>
        <v>0</v>
      </c>
      <c r="K114" s="73">
        <f>IF(Table1[[#This Row],[Column8]]=1,20,"")</f>
        <v>20</v>
      </c>
      <c r="L114" s="73">
        <f>IF(Table1[[#This Row],[Column8]]=1,J114*K114,"")</f>
        <v>0</v>
      </c>
      <c r="M114" s="74" t="str">
        <f>VLOOKUP($B114,'Standards Crosswalk'!$A:$H,3,FALSE)</f>
        <v>CSC 13</v>
      </c>
      <c r="N114" s="74">
        <f>VLOOKUP($B114,'Standards Crosswalk'!$A:$H,4,FALSE)</f>
        <v>0</v>
      </c>
      <c r="O114" s="74" t="str">
        <f>VLOOKUP($B114,'Standards Crosswalk'!$A:$H,5,FALSE)</f>
        <v>8.3.1, 18.1.1</v>
      </c>
      <c r="P114" s="74" t="str">
        <f>VLOOKUP($B114,'Standards Crosswalk'!$A:$H,6,FALSE)</f>
        <v>PR.DS-3</v>
      </c>
      <c r="Q114" s="74" t="str">
        <f>VLOOKUP($B114,'Standards Crosswalk'!$A:$H,7,FALSE)</f>
        <v>3.8.1, 3.8.2</v>
      </c>
      <c r="R114" s="74" t="str">
        <f>VLOOKUP($B114,'Standards Crosswalk'!$A:$H,8,FALSE)</f>
        <v>AC-2, AC-6, IA-4, PM-2, PM-10, SI-5</v>
      </c>
      <c r="S114" s="74" t="str">
        <f>VLOOKUP($B114,'Standards Crosswalk'!$A:$I,9,FALSE)</f>
        <v>12.8, 9.x</v>
      </c>
    </row>
    <row r="115" spans="1:19" ht="29.25" thickBot="1" x14ac:dyDescent="0.25">
      <c r="A115" s="73">
        <f t="shared" si="4"/>
        <v>113</v>
      </c>
      <c r="B115" s="79" t="s">
        <v>287</v>
      </c>
      <c r="C115" s="80" t="str">
        <f>VLOOKUP(B115,HECVAT!A:E,2,FALSE)</f>
        <v>Will you handle data in a FERPA compliant manner?</v>
      </c>
      <c r="D115" s="73">
        <f>VLOOKUP(B115,HECVAT!A:E,4,FALSE)</f>
        <v>0</v>
      </c>
      <c r="E115" s="81" t="b">
        <f>IF(Table1[[#This Row],[Column11]]&gt;20,TRUE,FALSE)</f>
        <v>0</v>
      </c>
      <c r="F115" s="81" t="s">
        <v>2051</v>
      </c>
      <c r="G115" s="100" t="s">
        <v>17</v>
      </c>
      <c r="H115" s="83">
        <v>1</v>
      </c>
      <c r="I115" s="73">
        <f>VLOOKUP(B115,HECVAT!A:E,3,FALSE)</f>
        <v>0</v>
      </c>
      <c r="J115" s="73">
        <f>IF(Table1[[#This Row],[Column7]]=Table1[[#This Row],[Column9]],1,0)</f>
        <v>0</v>
      </c>
      <c r="K115" s="73">
        <f>IF(Table1[[#This Row],[Column8]]=1,20,"")</f>
        <v>20</v>
      </c>
      <c r="L115" s="73">
        <f>IF(Table1[[#This Row],[Column8]]=1,J115*K115,"")</f>
        <v>0</v>
      </c>
      <c r="M115" s="74" t="str">
        <f>VLOOKUP($B115,'Standards Crosswalk'!$A:$H,3,FALSE)</f>
        <v>CSC 13</v>
      </c>
      <c r="N115" s="74">
        <f>VLOOKUP($B115,'Standards Crosswalk'!$A:$H,4,FALSE)</f>
        <v>0</v>
      </c>
      <c r="O115" s="74" t="str">
        <f>VLOOKUP($B115,'Standards Crosswalk'!$A:$H,5,FALSE)</f>
        <v>18.1.1</v>
      </c>
      <c r="P115" s="74" t="str">
        <f>VLOOKUP($B115,'Standards Crosswalk'!$A:$H,6,FALSE)</f>
        <v>ID.GV-3</v>
      </c>
      <c r="Q115" s="74">
        <f>VLOOKUP($B115,'Standards Crosswalk'!$A:$H,7,FALSE)</f>
        <v>0</v>
      </c>
      <c r="R115" s="74">
        <f>VLOOKUP($B115,'Standards Crosswalk'!$A:$H,8,FALSE)</f>
        <v>0</v>
      </c>
      <c r="S115" s="74">
        <f>VLOOKUP($B115,'Standards Crosswalk'!$A:$I,9,FALSE)</f>
        <v>0</v>
      </c>
    </row>
    <row r="116" spans="1:19" ht="43.5" thickBot="1" x14ac:dyDescent="0.25">
      <c r="A116" s="73">
        <f t="shared" si="4"/>
        <v>114</v>
      </c>
      <c r="B116" s="79" t="s">
        <v>288</v>
      </c>
      <c r="C116" s="80" t="str">
        <f>VLOOKUP(B116,HECVAT!A:E,2,FALSE)</f>
        <v>Is any institution data visible in system administration modules/tools?</v>
      </c>
      <c r="D116" s="73">
        <f>VLOOKUP(B116,HECVAT!A:E,4,FALSE)</f>
        <v>0</v>
      </c>
      <c r="E116" s="81" t="b">
        <f>IF(Table1[[#This Row],[Column11]]&gt;20,TRUE,FALSE)</f>
        <v>1</v>
      </c>
      <c r="F116" s="81" t="s">
        <v>2051</v>
      </c>
      <c r="G116" s="100" t="s">
        <v>21</v>
      </c>
      <c r="H116" s="83">
        <v>1</v>
      </c>
      <c r="I116" s="73">
        <f>VLOOKUP(B116,HECVAT!A:E,3,FALSE)</f>
        <v>0</v>
      </c>
      <c r="J116" s="73">
        <f>IF(Table1[[#This Row],[Column7]]=Table1[[#This Row],[Column9]],1,0)</f>
        <v>0</v>
      </c>
      <c r="K116" s="73">
        <f>IF(Table1[[#This Row],[Column8]]=1,25,"")</f>
        <v>25</v>
      </c>
      <c r="L116" s="73">
        <f>IF(Table1[[#This Row],[Column8]]=1,J116*K116,"")</f>
        <v>0</v>
      </c>
      <c r="M116" s="74" t="str">
        <f>VLOOKUP($B116,'Standards Crosswalk'!$A:$H,3,FALSE)</f>
        <v>CSC 13, CSC 14</v>
      </c>
      <c r="N116" s="74">
        <f>VLOOKUP($B116,'Standards Crosswalk'!$A:$H,4,FALSE)</f>
        <v>0</v>
      </c>
      <c r="O116" s="74" t="str">
        <f>VLOOKUP($B116,'Standards Crosswalk'!$A:$H,5,FALSE)</f>
        <v>14.2.5</v>
      </c>
      <c r="P116" s="74" t="str">
        <f>VLOOKUP($B116,'Standards Crosswalk'!$A:$H,6,FALSE)</f>
        <v>PR.AC-4</v>
      </c>
      <c r="Q116" s="74">
        <f>VLOOKUP($B116,'Standards Crosswalk'!$A:$H,7,FALSE)</f>
        <v>0</v>
      </c>
      <c r="R116" s="74">
        <f>VLOOKUP($B116,'Standards Crosswalk'!$A:$H,8,FALSE)</f>
        <v>0</v>
      </c>
      <c r="S116" s="74">
        <f>VLOOKUP($B116,'Standards Crosswalk'!$A:$I,9,FALSE)</f>
        <v>0</v>
      </c>
    </row>
    <row r="117" spans="1:19" ht="43.5" thickBot="1" x14ac:dyDescent="0.25">
      <c r="A117" s="73">
        <f t="shared" si="4"/>
        <v>115</v>
      </c>
      <c r="B117" s="79" t="s">
        <v>289</v>
      </c>
      <c r="C117" s="80" t="str">
        <f>VLOOKUP(B117,HECVAT!A:E,2,FALSE)</f>
        <v>Does the database support encryption of specified data elements in storage?</v>
      </c>
      <c r="D117" s="73">
        <f>VLOOKUP(B117,HECVAT!A:E,4,FALSE)</f>
        <v>0</v>
      </c>
      <c r="E117" s="81" t="b">
        <f>IF(Table1[[#This Row],[Column11]]&gt;20,TRUE,FALSE)</f>
        <v>1</v>
      </c>
      <c r="F117" s="81" t="s">
        <v>2052</v>
      </c>
      <c r="G117" s="82" t="s">
        <v>17</v>
      </c>
      <c r="H117" s="83">
        <v>1</v>
      </c>
      <c r="I117" s="73">
        <f>VLOOKUP(B117,HECVAT!A:E,3,FALSE)</f>
        <v>0</v>
      </c>
      <c r="J117" s="73">
        <f>IF(Table1[[#This Row],[Column7]]=Table1[[#This Row],[Column9]],1,0)</f>
        <v>0</v>
      </c>
      <c r="K117" s="73">
        <f>IF(Table1[[#This Row],[Column8]]=1,25,"")</f>
        <v>25</v>
      </c>
      <c r="L117" s="73">
        <f>IF(Table1[[#This Row],[Column8]]=1,J117*K117,"")</f>
        <v>0</v>
      </c>
      <c r="M117" s="74" t="str">
        <f>VLOOKUP($B117,'Standards Crosswalk'!$A:$H,3,FALSE)</f>
        <v>CSC 13</v>
      </c>
      <c r="N117" s="74">
        <f>VLOOKUP($B117,'Standards Crosswalk'!$A:$H,4,FALSE)</f>
        <v>0</v>
      </c>
      <c r="O117" s="74" t="str">
        <f>VLOOKUP($B117,'Standards Crosswalk'!$A:$H,5,FALSE)</f>
        <v>10.1.1</v>
      </c>
      <c r="P117" s="74" t="str">
        <f>VLOOKUP($B117,'Standards Crosswalk'!$A:$H,6,FALSE)</f>
        <v>PR.DS-1</v>
      </c>
      <c r="Q117" s="74">
        <f>VLOOKUP($B117,'Standards Crosswalk'!$A:$H,7,FALSE)</f>
        <v>0</v>
      </c>
      <c r="R117" s="74">
        <f>VLOOKUP($B117,'Standards Crosswalk'!$A:$H,8,FALSE)</f>
        <v>0</v>
      </c>
      <c r="S117" s="74">
        <f>VLOOKUP($B117,'Standards Crosswalk'!$A:$I,9,FALSE)</f>
        <v>0</v>
      </c>
    </row>
    <row r="118" spans="1:19" ht="29.25" thickBot="1" x14ac:dyDescent="0.25">
      <c r="A118" s="73">
        <f t="shared" si="4"/>
        <v>116</v>
      </c>
      <c r="B118" s="79" t="s">
        <v>290</v>
      </c>
      <c r="C118" s="80" t="str">
        <f>VLOOKUP(B118,HECVAT!A:E,2,FALSE)</f>
        <v>Do you currently use encryption in your database(s)?</v>
      </c>
      <c r="D118" s="73">
        <f>VLOOKUP(B118,HECVAT!A:E,4,FALSE)</f>
        <v>0</v>
      </c>
      <c r="E118" s="81" t="b">
        <f>IF(Table1[[#This Row],[Column11]]&gt;20,TRUE,FALSE)</f>
        <v>1</v>
      </c>
      <c r="F118" s="81" t="s">
        <v>2052</v>
      </c>
      <c r="G118" s="82" t="s">
        <v>17</v>
      </c>
      <c r="H118" s="83">
        <v>1</v>
      </c>
      <c r="I118" s="73">
        <f>VLOOKUP(B118,HECVAT!A:E,3,FALSE)</f>
        <v>0</v>
      </c>
      <c r="J118" s="73">
        <f>IF(Table1[[#This Row],[Column7]]=Table1[[#This Row],[Column9]],1,0)</f>
        <v>0</v>
      </c>
      <c r="K118" s="73">
        <f>IF(Table1[[#This Row],[Column8]]=1,25,"")</f>
        <v>25</v>
      </c>
      <c r="L118" s="73">
        <f>IF(Table1[[#This Row],[Column8]]=1,J118*K118,"")</f>
        <v>0</v>
      </c>
      <c r="M118" s="74" t="str">
        <f>VLOOKUP($B118,'Standards Crosswalk'!$A:$H,3,FALSE)</f>
        <v>CSC 13</v>
      </c>
      <c r="N118" s="74">
        <f>VLOOKUP($B118,'Standards Crosswalk'!$A:$H,4,FALSE)</f>
        <v>0</v>
      </c>
      <c r="O118" s="74" t="str">
        <f>VLOOKUP($B118,'Standards Crosswalk'!$A:$H,5,FALSE)</f>
        <v>10.1.1</v>
      </c>
      <c r="P118" s="74" t="str">
        <f>VLOOKUP($B118,'Standards Crosswalk'!$A:$H,6,FALSE)</f>
        <v>PR.DS-1, PR.DS-2</v>
      </c>
      <c r="Q118" s="74">
        <f>VLOOKUP($B118,'Standards Crosswalk'!$A:$H,7,FALSE)</f>
        <v>0</v>
      </c>
      <c r="R118" s="74">
        <f>VLOOKUP($B118,'Standards Crosswalk'!$A:$H,8,FALSE)</f>
        <v>0</v>
      </c>
      <c r="S118" s="74">
        <f>VLOOKUP($B118,'Standards Crosswalk'!$A:$I,9,FALSE)</f>
        <v>0</v>
      </c>
    </row>
    <row r="119" spans="1:19" ht="43.5" thickBot="1" x14ac:dyDescent="0.25">
      <c r="A119" s="73">
        <f t="shared" si="4"/>
        <v>117</v>
      </c>
      <c r="B119" s="79" t="s">
        <v>291</v>
      </c>
      <c r="C119" s="80" t="str">
        <f>VLOOKUP(B119,HECVAT!A:E,2,FALSE)</f>
        <v>Does your company own the physical data center where the Institution's data will reside?</v>
      </c>
      <c r="D119" s="73">
        <f>VLOOKUP(B119,HECVAT!A:E,4,FALSE)</f>
        <v>0</v>
      </c>
      <c r="E119" s="81" t="b">
        <f>IF(Table1[[#This Row],[Column11]]&gt;20,TRUE,FALSE)</f>
        <v>0</v>
      </c>
      <c r="F119" s="81" t="s">
        <v>2053</v>
      </c>
      <c r="G119" s="82" t="s">
        <v>17</v>
      </c>
      <c r="H119" s="83">
        <v>1</v>
      </c>
      <c r="I119" s="73">
        <f>VLOOKUP(B119,HECVAT!A:E,3,FALSE)</f>
        <v>0</v>
      </c>
      <c r="J119" s="73">
        <f>IF(Table1[[#This Row],[Column7]]=Table1[[#This Row],[Column9]],1,0)</f>
        <v>0</v>
      </c>
      <c r="K119" s="73">
        <f>IF(Table1[[#This Row],[Column8]]=1,15,"")</f>
        <v>15</v>
      </c>
      <c r="L119" s="73">
        <f>IF(Table1[[#This Row],[Column8]]=1,J119*K119,"")</f>
        <v>0</v>
      </c>
      <c r="M119" s="74" t="str">
        <f>VLOOKUP($B119,'Standards Crosswalk'!$A:$H,3,FALSE)</f>
        <v>CSC 14</v>
      </c>
      <c r="N119" s="74">
        <f>VLOOKUP($B119,'Standards Crosswalk'!$A:$H,4,FALSE)</f>
        <v>0</v>
      </c>
      <c r="O119" s="74" t="str">
        <f>VLOOKUP($B119,'Standards Crosswalk'!$A:$H,5,FALSE)</f>
        <v>11.1.1</v>
      </c>
      <c r="P119" s="74" t="str">
        <f>VLOOKUP($B119,'Standards Crosswalk'!$A:$H,6,FALSE)</f>
        <v>PR.AC-2, PR.IP-5</v>
      </c>
      <c r="Q119" s="74">
        <f>VLOOKUP($B119,'Standards Crosswalk'!$A:$H,7,FALSE)</f>
        <v>0</v>
      </c>
      <c r="R119" s="74">
        <f>VLOOKUP($B119,'Standards Crosswalk'!$A:$H,8,FALSE)</f>
        <v>0</v>
      </c>
      <c r="S119" s="74" t="str">
        <f>VLOOKUP($B119,'Standards Crosswalk'!$A:$I,9,FALSE)</f>
        <v>12.8, 9.x</v>
      </c>
    </row>
    <row r="120" spans="1:19" ht="29.25" thickBot="1" x14ac:dyDescent="0.25">
      <c r="A120" s="73">
        <f t="shared" si="4"/>
        <v>118</v>
      </c>
      <c r="B120" s="79" t="s">
        <v>292</v>
      </c>
      <c r="C120" s="80" t="str">
        <f>VLOOKUP(B120,HECVAT!A:E,2,FALSE)</f>
        <v>Does the hosting provider have a SOC 2 Type 2 report available?</v>
      </c>
      <c r="D120" s="73">
        <f>VLOOKUP(B120,HECVAT!A:E,4,FALSE)</f>
        <v>0</v>
      </c>
      <c r="E120" s="81" t="b">
        <f>IF(Table1[[#This Row],[Column11]]&gt;20,TRUE,FALSE)</f>
        <v>0</v>
      </c>
      <c r="F120" s="81" t="s">
        <v>2053</v>
      </c>
      <c r="G120" s="82" t="s">
        <v>17</v>
      </c>
      <c r="H120" s="83">
        <v>1</v>
      </c>
      <c r="I120" s="73">
        <f>VLOOKUP(B120,HECVAT!A:E,3,FALSE)</f>
        <v>0</v>
      </c>
      <c r="J120" s="73">
        <f>IF(Table1[[#This Row],[Column7]]=Table1[[#This Row],[Column9]],1,0)</f>
        <v>0</v>
      </c>
      <c r="K120" s="73">
        <f>IF(Table1[[#This Row],[Column8]]=1,15,"")</f>
        <v>15</v>
      </c>
      <c r="L120" s="73">
        <f>IF(Table1[[#This Row],[Column8]]=1,J120*K120,"")</f>
        <v>0</v>
      </c>
      <c r="M120" s="74" t="str">
        <f>VLOOKUP($B120,'Standards Crosswalk'!$A:$H,3,FALSE)</f>
        <v>CSC 13</v>
      </c>
      <c r="N120" s="74">
        <f>VLOOKUP($B120,'Standards Crosswalk'!$A:$H,4,FALSE)</f>
        <v>0</v>
      </c>
      <c r="O120" s="74" t="str">
        <f>VLOOKUP($B120,'Standards Crosswalk'!$A:$H,5,FALSE)</f>
        <v>11.1.1</v>
      </c>
      <c r="P120" s="74">
        <f>VLOOKUP($B120,'Standards Crosswalk'!$A:$H,6,FALSE)</f>
        <v>0</v>
      </c>
      <c r="Q120" s="74">
        <f>VLOOKUP($B120,'Standards Crosswalk'!$A:$H,7,FALSE)</f>
        <v>0</v>
      </c>
      <c r="R120" s="74">
        <f>VLOOKUP($B120,'Standards Crosswalk'!$A:$H,8,FALSE)</f>
        <v>0</v>
      </c>
      <c r="S120" s="74">
        <f>VLOOKUP($B120,'Standards Crosswalk'!$A:$I,9,FALSE)</f>
        <v>0</v>
      </c>
    </row>
    <row r="121" spans="1:19" ht="43.5" thickBot="1" x14ac:dyDescent="0.25">
      <c r="A121" s="73">
        <f t="shared" si="4"/>
        <v>119</v>
      </c>
      <c r="B121" s="79" t="s">
        <v>293</v>
      </c>
      <c r="C121" s="80" t="str">
        <f>VLOOKUP(B121,HECVAT!A:E,2,FALSE)</f>
        <v>Are the data centers staffed 24 hours a day, seven days a week (i.e 24x7x365)?</v>
      </c>
      <c r="D121" s="73">
        <f>VLOOKUP(B121,HECVAT!A:E,4,FALSE)</f>
        <v>0</v>
      </c>
      <c r="E121" s="81" t="b">
        <f>IF(Table1[[#This Row],[Column11]]&gt;20,TRUE,FALSE)</f>
        <v>0</v>
      </c>
      <c r="F121" s="81" t="s">
        <v>2053</v>
      </c>
      <c r="G121" s="82" t="s">
        <v>17</v>
      </c>
      <c r="H121" s="83">
        <v>1</v>
      </c>
      <c r="I121" s="73">
        <f>VLOOKUP(B121,HECVAT!A:E,3,FALSE)</f>
        <v>0</v>
      </c>
      <c r="J121" s="73">
        <f>IF(Table1[[#This Row],[Column7]]=Table1[[#This Row],[Column9]],1,0)</f>
        <v>0</v>
      </c>
      <c r="K121" s="73">
        <f>IF(Table1[[#This Row],[Column8]]=1,15,"")</f>
        <v>15</v>
      </c>
      <c r="L121" s="73">
        <f>IF(Table1[[#This Row],[Column8]]=1,J121*K121,"")</f>
        <v>0</v>
      </c>
      <c r="M121" s="74" t="str">
        <f>VLOOKUP($B121,'Standards Crosswalk'!$A:$H,3,FALSE)</f>
        <v>CSC 3</v>
      </c>
      <c r="N121" s="74">
        <f>VLOOKUP($B121,'Standards Crosswalk'!$A:$H,4,FALSE)</f>
        <v>0</v>
      </c>
      <c r="O121" s="74" t="str">
        <f>VLOOKUP($B121,'Standards Crosswalk'!$A:$H,5,FALSE)</f>
        <v>17.2.1</v>
      </c>
      <c r="P121" s="74">
        <f>VLOOKUP($B121,'Standards Crosswalk'!$A:$H,6,FALSE)</f>
        <v>0</v>
      </c>
      <c r="Q121" s="74">
        <f>VLOOKUP($B121,'Standards Crosswalk'!$A:$H,7,FALSE)</f>
        <v>0</v>
      </c>
      <c r="R121" s="74">
        <f>VLOOKUP($B121,'Standards Crosswalk'!$A:$H,8,FALSE)</f>
        <v>0</v>
      </c>
      <c r="S121" s="74">
        <f>VLOOKUP($B121,'Standards Crosswalk'!$A:$I,9,FALSE)</f>
        <v>0</v>
      </c>
    </row>
    <row r="122" spans="1:19" ht="29.25" thickBot="1" x14ac:dyDescent="0.25">
      <c r="A122" s="73">
        <f t="shared" si="4"/>
        <v>120</v>
      </c>
      <c r="B122" s="79" t="s">
        <v>294</v>
      </c>
      <c r="C122" s="80" t="str">
        <f>VLOOKUP(B122,HECVAT!A:E,2,FALSE)</f>
        <v>Do any of your servers reside in a co-located data center?</v>
      </c>
      <c r="D122" s="73">
        <f>VLOOKUP(B122,HECVAT!A:E,4,FALSE)</f>
        <v>0</v>
      </c>
      <c r="E122" s="81" t="b">
        <f>IF(Table1[[#This Row],[Column11]]&gt;20,TRUE,FALSE)</f>
        <v>1</v>
      </c>
      <c r="F122" s="81" t="s">
        <v>2053</v>
      </c>
      <c r="G122" s="82" t="s">
        <v>21</v>
      </c>
      <c r="H122" s="83">
        <v>1</v>
      </c>
      <c r="I122" s="73">
        <f>VLOOKUP(B122,HECVAT!A:E,3,FALSE)</f>
        <v>0</v>
      </c>
      <c r="J122" s="73">
        <f>IF(Table1[[#This Row],[Column7]]=Table1[[#This Row],[Column9]],1,0)</f>
        <v>0</v>
      </c>
      <c r="K122" s="73">
        <v>25</v>
      </c>
      <c r="L122" s="73">
        <f>IF(Table1[[#This Row],[Column8]]=1,J122*K122,"")</f>
        <v>0</v>
      </c>
      <c r="M122" s="74" t="str">
        <f>VLOOKUP($B122,'Standards Crosswalk'!$A:$H,3,FALSE)</f>
        <v>CSC 3, CSC 14</v>
      </c>
      <c r="N122" s="74">
        <f>VLOOKUP($B122,'Standards Crosswalk'!$A:$H,4,FALSE)</f>
        <v>0</v>
      </c>
      <c r="O122" s="74">
        <f>VLOOKUP($B122,'Standards Crosswalk'!$A:$H,5,FALSE)</f>
        <v>0</v>
      </c>
      <c r="P122" s="74">
        <f>VLOOKUP($B122,'Standards Crosswalk'!$A:$H,6,FALSE)</f>
        <v>0</v>
      </c>
      <c r="Q122" s="74">
        <f>VLOOKUP($B122,'Standards Crosswalk'!$A:$H,7,FALSE)</f>
        <v>0</v>
      </c>
      <c r="R122" s="74" t="str">
        <f>VLOOKUP($B122,'Standards Crosswalk'!$A:$H,8,FALSE)</f>
        <v>AC-4</v>
      </c>
      <c r="S122" s="74">
        <f>VLOOKUP($B122,'Standards Crosswalk'!$A:$I,9,FALSE)</f>
        <v>12.8</v>
      </c>
    </row>
    <row r="123" spans="1:19" ht="57.75" thickBot="1" x14ac:dyDescent="0.25">
      <c r="A123" s="73">
        <f t="shared" si="4"/>
        <v>121</v>
      </c>
      <c r="B123" s="97" t="s">
        <v>295</v>
      </c>
      <c r="C123" s="80" t="str">
        <f>VLOOKUP(B123,HECVAT!A:E,2,FALSE)</f>
        <v>Are your servers separated from other companies via a physical barrier, such as a cage or hardened walls?</v>
      </c>
      <c r="D123" s="73">
        <f>VLOOKUP(B123,HECVAT!A:E,4,FALSE)</f>
        <v>0</v>
      </c>
      <c r="E123" s="81" t="b">
        <f>IF(Table1[[#This Row],[Column11]]&gt;20,TRUE,FALSE)</f>
        <v>1</v>
      </c>
      <c r="F123" s="81" t="s">
        <v>2053</v>
      </c>
      <c r="G123" s="82" t="s">
        <v>17</v>
      </c>
      <c r="H123" s="83">
        <f>IF(I122="Yes",1,0)</f>
        <v>0</v>
      </c>
      <c r="I123" s="73">
        <f>VLOOKUP(B123,HECVAT!A:E,3,FALSE)</f>
        <v>0</v>
      </c>
      <c r="J123" s="73">
        <f>IF(Table1[[#This Row],[Column7]]=Table1[[#This Row],[Column9]],1,0)</f>
        <v>0</v>
      </c>
      <c r="K123" s="73" t="str">
        <f>IF(Table1[[#This Row],[Column8]]=1,20,"")</f>
        <v/>
      </c>
      <c r="L123" s="73" t="str">
        <f>IF(Table1[[#This Row],[Column8]]=1,J123*K123,"")</f>
        <v/>
      </c>
      <c r="M123" s="74" t="str">
        <f>VLOOKUP($B123,'Standards Crosswalk'!$A:$H,3,FALSE)</f>
        <v>CSC 3, CSC 14</v>
      </c>
      <c r="N123" s="74">
        <f>VLOOKUP($B123,'Standards Crosswalk'!$A:$H,4,FALSE)</f>
        <v>0</v>
      </c>
      <c r="O123" s="74" t="str">
        <f>VLOOKUP($B123,'Standards Crosswalk'!$A:$H,5,FALSE)</f>
        <v>13.1.2</v>
      </c>
      <c r="P123" s="74" t="str">
        <f>VLOOKUP($B123,'Standards Crosswalk'!$A:$H,6,FALSE)</f>
        <v>PR.AC-2</v>
      </c>
      <c r="Q123" s="74">
        <f>VLOOKUP($B123,'Standards Crosswalk'!$A:$H,7,FALSE)</f>
        <v>0</v>
      </c>
      <c r="R123" s="74">
        <f>VLOOKUP($B123,'Standards Crosswalk'!$A:$H,8,FALSE)</f>
        <v>0</v>
      </c>
      <c r="S123" s="74" t="str">
        <f>VLOOKUP($B123,'Standards Crosswalk'!$A:$I,9,FALSE)</f>
        <v>9.x</v>
      </c>
    </row>
    <row r="124" spans="1:19" ht="57.75" thickBot="1" x14ac:dyDescent="0.25">
      <c r="A124" s="73">
        <f t="shared" si="4"/>
        <v>122</v>
      </c>
      <c r="B124" s="97" t="s">
        <v>296</v>
      </c>
      <c r="C124" s="80" t="str">
        <f>VLOOKUP(B124,HECVAT!A:E,2,FALSE)</f>
        <v>Does a physical barrier fully enclose the physical space preventing unauthorized physical contact with any of your devices?</v>
      </c>
      <c r="D124" s="73">
        <f>VLOOKUP(B124,HECVAT!A:E,4,FALSE)</f>
        <v>0</v>
      </c>
      <c r="E124" s="81" t="b">
        <f>IF(Table1[[#This Row],[Column11]]&gt;20,TRUE,FALSE)</f>
        <v>1</v>
      </c>
      <c r="F124" s="81" t="s">
        <v>2053</v>
      </c>
      <c r="G124" s="82" t="s">
        <v>17</v>
      </c>
      <c r="H124" s="83">
        <f>IF(I122="Yes",1,0)</f>
        <v>0</v>
      </c>
      <c r="I124" s="73">
        <f>VLOOKUP(B124,HECVAT!A:E,3,FALSE)</f>
        <v>0</v>
      </c>
      <c r="J124" s="73">
        <f>IF(Table1[[#This Row],[Column7]]=Table1[[#This Row],[Column9]],1,0)</f>
        <v>0</v>
      </c>
      <c r="K124" s="73" t="str">
        <f>IF(Table1[[#This Row],[Column8]]=1,20,"")</f>
        <v/>
      </c>
      <c r="L124" s="73" t="str">
        <f>IF(Table1[[#This Row],[Column8]]=1,J124*K124,"")</f>
        <v/>
      </c>
      <c r="M124" s="74" t="str">
        <f>VLOOKUP($B124,'Standards Crosswalk'!$A:$H,3,FALSE)</f>
        <v>CSC 14</v>
      </c>
      <c r="N124" s="74">
        <f>VLOOKUP($B124,'Standards Crosswalk'!$A:$H,4,FALSE)</f>
        <v>0</v>
      </c>
      <c r="O124" s="74" t="str">
        <f>VLOOKUP($B124,'Standards Crosswalk'!$A:$H,5,FALSE)</f>
        <v>11.1.1, 11.1.2</v>
      </c>
      <c r="P124" s="74" t="str">
        <f>VLOOKUP($B124,'Standards Crosswalk'!$A:$H,6,FALSE)</f>
        <v>PR.AC-2</v>
      </c>
      <c r="Q124" s="74" t="str">
        <f>VLOOKUP($B124,'Standards Crosswalk'!$A:$H,7,FALSE)</f>
        <v>3.8.1, 3.8.2</v>
      </c>
      <c r="R124" s="74">
        <f>VLOOKUP($B124,'Standards Crosswalk'!$A:$H,8,FALSE)</f>
        <v>0</v>
      </c>
      <c r="S124" s="74" t="str">
        <f>VLOOKUP($B124,'Standards Crosswalk'!$A:$I,9,FALSE)</f>
        <v>9.x</v>
      </c>
    </row>
    <row r="125" spans="1:19" ht="43.5" thickBot="1" x14ac:dyDescent="0.25">
      <c r="A125" s="73">
        <f t="shared" si="4"/>
        <v>123</v>
      </c>
      <c r="B125" s="79" t="s">
        <v>297</v>
      </c>
      <c r="C125" s="80" t="str">
        <f>VLOOKUP(B125,HECVAT!A:E,2,FALSE)</f>
        <v>Select the option that best describes the network segment that servers are connected to.</v>
      </c>
      <c r="D125" s="73">
        <f>VLOOKUP(B125,HECVAT!A:E,4,FALSE)</f>
        <v>0</v>
      </c>
      <c r="E125" s="81" t="b">
        <f>IF(Table1[[#This Row],[Column11]]&gt;20,TRUE,FALSE)</f>
        <v>0</v>
      </c>
      <c r="F125" s="81" t="s">
        <v>2053</v>
      </c>
      <c r="G125" s="82" t="s">
        <v>17</v>
      </c>
      <c r="H125" s="83">
        <v>1</v>
      </c>
      <c r="I125" s="73">
        <f>VLOOKUP(B125,HECVAT!A:E,3,FALSE)</f>
        <v>0</v>
      </c>
      <c r="J125" s="73">
        <f>IF(VLOOKUP(Table1[[#This Row],[Column2]],'Analyst Report'!$A$41:$G$88,7,FALSE)="Yes",1,0)</f>
        <v>0</v>
      </c>
      <c r="K125" s="73">
        <f>IF(Table1[[#This Row],[Column8]]=1,20,"")</f>
        <v>20</v>
      </c>
      <c r="L125" s="73">
        <f>IF(Table1[[#This Row],[Column8]]=1,J125*K125,"")</f>
        <v>0</v>
      </c>
      <c r="M125" s="74" t="str">
        <f>VLOOKUP($B125,'Standards Crosswalk'!$A:$H,3,FALSE)</f>
        <v>CSC 9</v>
      </c>
      <c r="N125" s="74">
        <f>VLOOKUP($B125,'Standards Crosswalk'!$A:$H,4,FALSE)</f>
        <v>0</v>
      </c>
      <c r="O125" s="74">
        <f>VLOOKUP($B125,'Standards Crosswalk'!$A:$H,5,FALSE)</f>
        <v>0</v>
      </c>
      <c r="P125" s="74" t="str">
        <f>VLOOKUP($B125,'Standards Crosswalk'!$A:$H,6,FALSE)</f>
        <v>PR.AC-5</v>
      </c>
      <c r="Q125" s="74" t="str">
        <f>VLOOKUP($B125,'Standards Crosswalk'!$A:$H,7,FALSE)</f>
        <v>3.1.3</v>
      </c>
      <c r="R125" s="74">
        <f>VLOOKUP($B125,'Standards Crosswalk'!$A:$H,8,FALSE)</f>
        <v>0</v>
      </c>
      <c r="S125" s="74">
        <f>VLOOKUP($B125,'Standards Crosswalk'!$A:$I,9,FALSE)</f>
        <v>0</v>
      </c>
    </row>
    <row r="126" spans="1:19" ht="43.5" thickBot="1" x14ac:dyDescent="0.25">
      <c r="A126" s="73">
        <f t="shared" si="4"/>
        <v>124</v>
      </c>
      <c r="B126" s="79" t="s">
        <v>298</v>
      </c>
      <c r="C126" s="80" t="str">
        <f>VLOOKUP(B126,HECVAT!A:E,2,FALSE)</f>
        <v>Does this data center operate outside of the Institution's Data Zone?</v>
      </c>
      <c r="D126" s="73">
        <f>VLOOKUP(B126,HECVAT!A:E,4,FALSE)</f>
        <v>0</v>
      </c>
      <c r="E126" s="81" t="b">
        <f>IF(Table1[[#This Row],[Column11]]&gt;20,TRUE,FALSE)</f>
        <v>0</v>
      </c>
      <c r="F126" s="81" t="s">
        <v>2053</v>
      </c>
      <c r="G126" s="82" t="s">
        <v>21</v>
      </c>
      <c r="H126" s="83">
        <v>1</v>
      </c>
      <c r="I126" s="73">
        <f>VLOOKUP(B126,HECVAT!A:E,3,FALSE)</f>
        <v>0</v>
      </c>
      <c r="J126" s="73">
        <f>IF(Table1[[#This Row],[Column7]]=Table1[[#This Row],[Column9]],1,0)</f>
        <v>0</v>
      </c>
      <c r="K126" s="73">
        <f>IF(Table1[[#This Row],[Column8]]=1,20,"")</f>
        <v>20</v>
      </c>
      <c r="L126" s="73">
        <f>IF(Table1[[#This Row],[Column8]]=1,J126*K126,"")</f>
        <v>0</v>
      </c>
      <c r="M126" s="74" t="str">
        <f>VLOOKUP($B126,'Standards Crosswalk'!$A:$H,3,FALSE)</f>
        <v>CSC 12</v>
      </c>
      <c r="N126" s="74">
        <f>VLOOKUP($B126,'Standards Crosswalk'!$A:$H,4,FALSE)</f>
        <v>0</v>
      </c>
      <c r="O126" s="74" t="str">
        <f>VLOOKUP($B126,'Standards Crosswalk'!$A:$H,5,FALSE)</f>
        <v>18.1.1</v>
      </c>
      <c r="P126" s="74">
        <f>VLOOKUP($B126,'Standards Crosswalk'!$A:$H,6,FALSE)</f>
        <v>0</v>
      </c>
      <c r="Q126" s="74">
        <f>VLOOKUP($B126,'Standards Crosswalk'!$A:$H,7,FALSE)</f>
        <v>0</v>
      </c>
      <c r="R126" s="74">
        <f>VLOOKUP($B126,'Standards Crosswalk'!$A:$H,8,FALSE)</f>
        <v>0</v>
      </c>
      <c r="S126" s="74">
        <f>VLOOKUP($B126,'Standards Crosswalk'!$A:$I,9,FALSE)</f>
        <v>12.8</v>
      </c>
    </row>
    <row r="127" spans="1:19" ht="29.25" thickBot="1" x14ac:dyDescent="0.25">
      <c r="A127" s="73">
        <f t="shared" si="4"/>
        <v>125</v>
      </c>
      <c r="B127" s="79" t="s">
        <v>299</v>
      </c>
      <c r="C127" s="80" t="str">
        <f>VLOOKUP(B127,HECVAT!A:E,2,FALSE)</f>
        <v>Will any institution data leave the Institution's Data Zone?</v>
      </c>
      <c r="D127" s="73">
        <f>VLOOKUP(B127,HECVAT!A:E,4,FALSE)</f>
        <v>0</v>
      </c>
      <c r="E127" s="81" t="b">
        <f>IF(Table1[[#This Row],[Column11]]&gt;20,TRUE,FALSE)</f>
        <v>1</v>
      </c>
      <c r="F127" s="81" t="s">
        <v>2053</v>
      </c>
      <c r="G127" s="82" t="s">
        <v>21</v>
      </c>
      <c r="H127" s="83">
        <v>1</v>
      </c>
      <c r="I127" s="73">
        <f>VLOOKUP(B127,HECVAT!A:E,3,FALSE)</f>
        <v>0</v>
      </c>
      <c r="J127" s="73">
        <f>IF(Table1[[#This Row],[Column7]]=Table1[[#This Row],[Column9]],1,0)</f>
        <v>0</v>
      </c>
      <c r="K127" s="73">
        <v>25</v>
      </c>
      <c r="L127" s="73">
        <f>IF(Table1[[#This Row],[Column8]]=1,J127*K127,"")</f>
        <v>0</v>
      </c>
      <c r="M127" s="74" t="str">
        <f>VLOOKUP($B127,'Standards Crosswalk'!$A:$H,3,FALSE)</f>
        <v>CSC 12</v>
      </c>
      <c r="N127" s="74">
        <f>VLOOKUP($B127,'Standards Crosswalk'!$A:$H,4,FALSE)</f>
        <v>0</v>
      </c>
      <c r="O127" s="74" t="str">
        <f>VLOOKUP($B127,'Standards Crosswalk'!$A:$H,5,FALSE)</f>
        <v>18.1.1</v>
      </c>
      <c r="P127" s="74">
        <f>VLOOKUP($B127,'Standards Crosswalk'!$A:$H,6,FALSE)</f>
        <v>0</v>
      </c>
      <c r="Q127" s="74">
        <f>VLOOKUP($B127,'Standards Crosswalk'!$A:$H,7,FALSE)</f>
        <v>0</v>
      </c>
      <c r="R127" s="74">
        <f>VLOOKUP($B127,'Standards Crosswalk'!$A:$H,8,FALSE)</f>
        <v>0</v>
      </c>
      <c r="S127" s="74">
        <f>VLOOKUP($B127,'Standards Crosswalk'!$A:$I,9,FALSE)</f>
        <v>12.9</v>
      </c>
    </row>
    <row r="128" spans="1:19" ht="29.25" thickBot="1" x14ac:dyDescent="0.25">
      <c r="A128" s="73">
        <f t="shared" si="4"/>
        <v>126</v>
      </c>
      <c r="B128" s="79" t="str">
        <f>IF(I127="Yes","DCTR-10","")</f>
        <v/>
      </c>
      <c r="C128" s="80" t="e">
        <f>VLOOKUP(B128,HECVAT!A:E,2,FALSE)</f>
        <v>#N/A</v>
      </c>
      <c r="D128" s="73" t="e">
        <f>VLOOKUP(B128,HECVAT!A:E,4,FALSE)</f>
        <v>#N/A</v>
      </c>
      <c r="E128" s="81" t="b">
        <f>IF(Table1[[#This Row],[Column11]]&gt;20,TRUE,FALSE)</f>
        <v>1</v>
      </c>
      <c r="F128" s="81" t="s">
        <v>2053</v>
      </c>
      <c r="G128" s="82" t="s">
        <v>21</v>
      </c>
      <c r="H128" s="83">
        <f>IF(I127="Yes",1,0)</f>
        <v>0</v>
      </c>
      <c r="I128" s="73" t="e">
        <f>VLOOKUP(B128,HECVAT!A:E,3,FALSE)</f>
        <v>#N/A</v>
      </c>
      <c r="J128" s="73" t="e">
        <f>IF(VLOOKUP(Table1[[#This Row],[Column2]],'Analyst Report'!$A$41:$G$88,7,FALSE)="Yes",1,0)</f>
        <v>#N/A</v>
      </c>
      <c r="K128" s="73" t="str">
        <f>IF(Table1[[#This Row],[Column8]]=1,20,"")</f>
        <v/>
      </c>
      <c r="L128" s="73" t="str">
        <f>IF(Table1[[#This Row],[Column8]]=1,J128*K128,"")</f>
        <v/>
      </c>
      <c r="M128" s="74" t="e">
        <f>VLOOKUP($B128,'Standards Crosswalk'!$A:$H,3,FALSE)</f>
        <v>#N/A</v>
      </c>
      <c r="N128" s="74" t="e">
        <f>VLOOKUP($B128,'Standards Crosswalk'!$A:$H,4,FALSE)</f>
        <v>#N/A</v>
      </c>
      <c r="O128" s="74" t="e">
        <f>VLOOKUP($B128,'Standards Crosswalk'!$A:$H,5,FALSE)</f>
        <v>#N/A</v>
      </c>
      <c r="P128" s="74" t="e">
        <f>VLOOKUP($B128,'Standards Crosswalk'!$A:$H,6,FALSE)</f>
        <v>#N/A</v>
      </c>
      <c r="Q128" s="74" t="e">
        <f>VLOOKUP($B128,'Standards Crosswalk'!$A:$H,7,FALSE)</f>
        <v>#N/A</v>
      </c>
      <c r="R128" s="74" t="e">
        <f>VLOOKUP($B128,'Standards Crosswalk'!$A:$H,8,FALSE)</f>
        <v>#N/A</v>
      </c>
      <c r="S128" s="74" t="e">
        <f>VLOOKUP($B128,'Standards Crosswalk'!$A:$I,9,FALSE)</f>
        <v>#N/A</v>
      </c>
    </row>
    <row r="129" spans="1:19" ht="29.25" thickBot="1" x14ac:dyDescent="0.25">
      <c r="A129" s="73">
        <f t="shared" si="4"/>
        <v>127</v>
      </c>
      <c r="B129" s="79" t="s">
        <v>301</v>
      </c>
      <c r="C129" s="80" t="str">
        <f>VLOOKUP(B129,HECVAT!A:E,2,FALSE)</f>
        <v>Are your primary and secondary data centers geographically diverse?</v>
      </c>
      <c r="D129" s="73">
        <f>VLOOKUP(B129,HECVAT!A:E,4,FALSE)</f>
        <v>0</v>
      </c>
      <c r="E129" s="81" t="b">
        <f>IF(Table1[[#This Row],[Column11]]&gt;20,TRUE,FALSE)</f>
        <v>0</v>
      </c>
      <c r="F129" s="81" t="s">
        <v>2053</v>
      </c>
      <c r="G129" s="82" t="s">
        <v>17</v>
      </c>
      <c r="H129" s="83">
        <v>1</v>
      </c>
      <c r="I129" s="73">
        <f>VLOOKUP(B129,HECVAT!A:E,3,FALSE)</f>
        <v>0</v>
      </c>
      <c r="J129" s="73">
        <f>IF(Table1[[#This Row],[Column7]]=Table1[[#This Row],[Column9]],1,0)</f>
        <v>0</v>
      </c>
      <c r="K129" s="73">
        <f>IF(Table1[[#This Row],[Column8]]=1,20,"")</f>
        <v>20</v>
      </c>
      <c r="L129" s="73">
        <f>IF(Table1[[#This Row],[Column8]]=1,J129*K129,"")</f>
        <v>0</v>
      </c>
      <c r="M129" s="74" t="str">
        <f>VLOOKUP($B129,'Standards Crosswalk'!$A:$H,3,FALSE)</f>
        <v>CSC 10</v>
      </c>
      <c r="N129" s="74">
        <f>VLOOKUP($B129,'Standards Crosswalk'!$A:$H,4,FALSE)</f>
        <v>0</v>
      </c>
      <c r="O129" s="74" t="str">
        <f>VLOOKUP($B129,'Standards Crosswalk'!$A:$H,5,FALSE)</f>
        <v>11.1.4</v>
      </c>
      <c r="P129" s="74">
        <f>VLOOKUP($B129,'Standards Crosswalk'!$A:$H,6,FALSE)</f>
        <v>0</v>
      </c>
      <c r="Q129" s="74">
        <f>VLOOKUP($B129,'Standards Crosswalk'!$A:$H,7,FALSE)</f>
        <v>0</v>
      </c>
      <c r="R129" s="74">
        <f>VLOOKUP($B129,'Standards Crosswalk'!$A:$H,8,FALSE)</f>
        <v>0</v>
      </c>
      <c r="S129" s="74">
        <f>VLOOKUP($B129,'Standards Crosswalk'!$A:$I,9,FALSE)</f>
        <v>12.8</v>
      </c>
    </row>
    <row r="130" spans="1:19" ht="57.75" thickBot="1" x14ac:dyDescent="0.25">
      <c r="A130" s="73">
        <f t="shared" si="4"/>
        <v>128</v>
      </c>
      <c r="B130" s="79" t="s">
        <v>302</v>
      </c>
      <c r="C130" s="80" t="str">
        <f>VLOOKUP(B130,HECVAT!A:E,2,FALSE)</f>
        <v>If outsourced or co-located, is there a contract in place to prevent data from leaving the Institution's Data Zone?</v>
      </c>
      <c r="D130" s="73">
        <f>VLOOKUP(B130,HECVAT!A:E,4,FALSE)</f>
        <v>0</v>
      </c>
      <c r="E130" s="81" t="b">
        <f>IF(Table1[[#This Row],[Column11]]&gt;20,TRUE,FALSE)</f>
        <v>0</v>
      </c>
      <c r="F130" s="81" t="s">
        <v>2053</v>
      </c>
      <c r="G130" s="82" t="s">
        <v>17</v>
      </c>
      <c r="H130" s="83">
        <v>1</v>
      </c>
      <c r="I130" s="73">
        <f>VLOOKUP(B130,HECVAT!A:E,3,FALSE)</f>
        <v>0</v>
      </c>
      <c r="J130" s="73">
        <f>IF(Table1[[#This Row],[Column7]]=Table1[[#This Row],[Column9]],1,0)</f>
        <v>0</v>
      </c>
      <c r="K130" s="73">
        <f>IF(Table1[[#This Row],[Column8]]=1,20,"")</f>
        <v>20</v>
      </c>
      <c r="L130" s="73">
        <f>IF(Table1[[#This Row],[Column8]]=1,J130*K130,"")</f>
        <v>0</v>
      </c>
      <c r="M130" s="74" t="str">
        <f>VLOOKUP($B130,'Standards Crosswalk'!$A:$H,3,FALSE)</f>
        <v>CSC 12</v>
      </c>
      <c r="N130" s="74">
        <f>VLOOKUP($B130,'Standards Crosswalk'!$A:$H,4,FALSE)</f>
        <v>0</v>
      </c>
      <c r="O130" s="74" t="str">
        <f>VLOOKUP($B130,'Standards Crosswalk'!$A:$H,5,FALSE)</f>
        <v>18.1.1</v>
      </c>
      <c r="P130" s="74">
        <f>VLOOKUP($B130,'Standards Crosswalk'!$A:$H,6,FALSE)</f>
        <v>0</v>
      </c>
      <c r="Q130" s="74">
        <f>VLOOKUP($B130,'Standards Crosswalk'!$A:$H,7,FALSE)</f>
        <v>0</v>
      </c>
      <c r="R130" s="74">
        <f>VLOOKUP($B130,'Standards Crosswalk'!$A:$H,8,FALSE)</f>
        <v>0</v>
      </c>
      <c r="S130" s="74">
        <f>VLOOKUP($B130,'Standards Crosswalk'!$A:$I,9,FALSE)</f>
        <v>12.8</v>
      </c>
    </row>
    <row r="131" spans="1:19" ht="43.5" thickBot="1" x14ac:dyDescent="0.25">
      <c r="A131" s="73">
        <f t="shared" si="4"/>
        <v>129</v>
      </c>
      <c r="B131" s="79" t="s">
        <v>303</v>
      </c>
      <c r="C131" s="80" t="str">
        <f>VLOOKUP(B131,HECVAT!A:E,2,FALSE)</f>
        <v>What Tier Level is your data center (per levels defined by the Uptime Institute)?</v>
      </c>
      <c r="D131" s="73">
        <f>VLOOKUP(B131,HECVAT!A:E,4,FALSE)</f>
        <v>0</v>
      </c>
      <c r="E131" s="81" t="b">
        <f>IF(Table1[[#This Row],[Column11]]&gt;20,TRUE,FALSE)</f>
        <v>0</v>
      </c>
      <c r="F131" s="81" t="s">
        <v>2053</v>
      </c>
      <c r="G131" s="82" t="s">
        <v>17</v>
      </c>
      <c r="H131" s="83">
        <v>1</v>
      </c>
      <c r="I131" s="73">
        <f>VLOOKUP(B131,HECVAT!A:E,3,FALSE)</f>
        <v>0</v>
      </c>
      <c r="J131" s="73">
        <f>IF(VLOOKUP(Table1[[#This Row],[Column2]],'Analyst Report'!$A$41:$G$88,7,FALSE)="Yes",1,0)</f>
        <v>0</v>
      </c>
      <c r="K131" s="73">
        <f>IF(Table1[[#This Row],[Column8]]=1,15,"")</f>
        <v>15</v>
      </c>
      <c r="L131" s="73">
        <f>IF(Table1[[#This Row],[Column8]]=1,J131*K131,"")</f>
        <v>0</v>
      </c>
      <c r="M131" s="74">
        <f>VLOOKUP($B131,'Standards Crosswalk'!$A:$H,3,FALSE)</f>
        <v>0</v>
      </c>
      <c r="N131" s="74">
        <f>VLOOKUP($B131,'Standards Crosswalk'!$A:$H,4,FALSE)</f>
        <v>0</v>
      </c>
      <c r="O131" s="74" t="str">
        <f>VLOOKUP($B131,'Standards Crosswalk'!$A:$H,5,FALSE)</f>
        <v>17.1.1</v>
      </c>
      <c r="P131" s="74">
        <f>VLOOKUP($B131,'Standards Crosswalk'!$A:$H,6,FALSE)</f>
        <v>0</v>
      </c>
      <c r="Q131" s="74">
        <f>VLOOKUP($B131,'Standards Crosswalk'!$A:$H,7,FALSE)</f>
        <v>0</v>
      </c>
      <c r="R131" s="74">
        <f>VLOOKUP($B131,'Standards Crosswalk'!$A:$H,8,FALSE)</f>
        <v>0</v>
      </c>
      <c r="S131" s="74">
        <f>VLOOKUP($B131,'Standards Crosswalk'!$A:$I,9,FALSE)</f>
        <v>0</v>
      </c>
    </row>
    <row r="132" spans="1:19" ht="29.25" thickBot="1" x14ac:dyDescent="0.25">
      <c r="A132" s="73">
        <f t="shared" ref="A132:A195" si="5">A131+1</f>
        <v>130</v>
      </c>
      <c r="B132" s="79" t="s">
        <v>304</v>
      </c>
      <c r="C132" s="80" t="str">
        <f>VLOOKUP(B132,HECVAT!A:E,2,FALSE)</f>
        <v>Is the service hosted in a high availability environment?</v>
      </c>
      <c r="D132" s="73">
        <f>VLOOKUP(B132,HECVAT!A:E,4,FALSE)</f>
        <v>0</v>
      </c>
      <c r="E132" s="81" t="b">
        <f>IF(Table1[[#This Row],[Column11]]&gt;20,TRUE,FALSE)</f>
        <v>0</v>
      </c>
      <c r="F132" s="81" t="s">
        <v>2053</v>
      </c>
      <c r="G132" s="82" t="s">
        <v>17</v>
      </c>
      <c r="H132" s="83">
        <v>1</v>
      </c>
      <c r="I132" s="73">
        <f>VLOOKUP(B132,HECVAT!A:E,3,FALSE)</f>
        <v>0</v>
      </c>
      <c r="J132" s="73">
        <f>IF(Table1[[#This Row],[Column7]]=Table1[[#This Row],[Column9]],1,0)</f>
        <v>0</v>
      </c>
      <c r="K132" s="73">
        <f>IF(Table1[[#This Row],[Column8]]=1,20,"")</f>
        <v>20</v>
      </c>
      <c r="L132" s="73">
        <f>IF(Table1[[#This Row],[Column8]]=1,J132*K132,"")</f>
        <v>0</v>
      </c>
      <c r="M132" s="74" t="str">
        <f>VLOOKUP($B132,'Standards Crosswalk'!$A:$H,3,FALSE)</f>
        <v>CSC 10</v>
      </c>
      <c r="N132" s="74">
        <f>VLOOKUP($B132,'Standards Crosswalk'!$A:$H,4,FALSE)</f>
        <v>0</v>
      </c>
      <c r="O132" s="74" t="str">
        <f>VLOOKUP($B132,'Standards Crosswalk'!$A:$H,5,FALSE)</f>
        <v>17.1.1</v>
      </c>
      <c r="P132" s="74" t="str">
        <f>VLOOKUP($B132,'Standards Crosswalk'!$A:$H,6,FALSE)</f>
        <v>PR.DS-4</v>
      </c>
      <c r="Q132" s="74">
        <f>VLOOKUP($B132,'Standards Crosswalk'!$A:$H,7,FALSE)</f>
        <v>0</v>
      </c>
      <c r="R132" s="74">
        <f>VLOOKUP($B132,'Standards Crosswalk'!$A:$H,8,FALSE)</f>
        <v>0</v>
      </c>
      <c r="S132" s="74">
        <f>VLOOKUP($B132,'Standards Crosswalk'!$A:$I,9,FALSE)</f>
        <v>0</v>
      </c>
    </row>
    <row r="133" spans="1:19" ht="43.5" thickBot="1" x14ac:dyDescent="0.25">
      <c r="A133" s="73">
        <f t="shared" si="5"/>
        <v>131</v>
      </c>
      <c r="B133" s="79" t="s">
        <v>305</v>
      </c>
      <c r="C133" s="80" t="str">
        <f>VLOOKUP(B133,HECVAT!A:E,2,FALSE)</f>
        <v xml:space="preserve">Is redundant power available for all datacenters where institution data will reside? </v>
      </c>
      <c r="D133" s="73">
        <f>VLOOKUP(B133,HECVAT!A:E,4,FALSE)</f>
        <v>0</v>
      </c>
      <c r="E133" s="81" t="b">
        <f>IF(Table1[[#This Row],[Column11]]&gt;20,TRUE,FALSE)</f>
        <v>0</v>
      </c>
      <c r="F133" s="81" t="s">
        <v>2053</v>
      </c>
      <c r="G133" s="82" t="s">
        <v>17</v>
      </c>
      <c r="H133" s="83">
        <v>1</v>
      </c>
      <c r="I133" s="73">
        <f>VLOOKUP(B133,HECVAT!A:E,3,FALSE)</f>
        <v>0</v>
      </c>
      <c r="J133" s="73">
        <f>IF(Table1[[#This Row],[Column7]]=Table1[[#This Row],[Column9]],1,0)</f>
        <v>0</v>
      </c>
      <c r="K133" s="73">
        <f>IF(Table1[[#This Row],[Column8]]=1,20,"")</f>
        <v>20</v>
      </c>
      <c r="L133" s="73">
        <f>IF(Table1[[#This Row],[Column8]]=1,J133*K133,"")</f>
        <v>0</v>
      </c>
      <c r="M133" s="74">
        <f>VLOOKUP($B133,'Standards Crosswalk'!$A:$H,3,FALSE)</f>
        <v>0</v>
      </c>
      <c r="N133" s="74">
        <f>VLOOKUP($B133,'Standards Crosswalk'!$A:$H,4,FALSE)</f>
        <v>0</v>
      </c>
      <c r="O133" s="74" t="str">
        <f>VLOOKUP($B133,'Standards Crosswalk'!$A:$H,5,FALSE)</f>
        <v>17.2.1</v>
      </c>
      <c r="P133" s="74" t="str">
        <f>VLOOKUP($B133,'Standards Crosswalk'!$A:$H,6,FALSE)</f>
        <v>PR.DS-4</v>
      </c>
      <c r="Q133" s="74">
        <f>VLOOKUP($B133,'Standards Crosswalk'!$A:$H,7,FALSE)</f>
        <v>0</v>
      </c>
      <c r="R133" s="74">
        <f>VLOOKUP($B133,'Standards Crosswalk'!$A:$H,8,FALSE)</f>
        <v>0</v>
      </c>
      <c r="S133" s="74">
        <f>VLOOKUP($B133,'Standards Crosswalk'!$A:$I,9,FALSE)</f>
        <v>0</v>
      </c>
    </row>
    <row r="134" spans="1:19" ht="29.25" thickBot="1" x14ac:dyDescent="0.25">
      <c r="A134" s="73">
        <f t="shared" si="5"/>
        <v>132</v>
      </c>
      <c r="B134" s="97" t="s">
        <v>306</v>
      </c>
      <c r="C134" s="80" t="str">
        <f>VLOOKUP(B134,HECVAT!A:E,2,FALSE)</f>
        <v>Are redundant power strategies tested?</v>
      </c>
      <c r="D134" s="73">
        <f>VLOOKUP(B134,HECVAT!A:E,4,FALSE)</f>
        <v>0</v>
      </c>
      <c r="E134" s="81" t="b">
        <f>IF(Table1[[#This Row],[Column11]]&gt;20,TRUE,FALSE)</f>
        <v>1</v>
      </c>
      <c r="F134" s="81" t="s">
        <v>2053</v>
      </c>
      <c r="G134" s="82" t="s">
        <v>17</v>
      </c>
      <c r="H134" s="83">
        <f>IF(I133="Yes",1,0)</f>
        <v>0</v>
      </c>
      <c r="I134" s="73">
        <f>VLOOKUP(B134,HECVAT!A:E,3,FALSE)</f>
        <v>0</v>
      </c>
      <c r="J134" s="73">
        <f>IF(Table1[[#This Row],[Column7]]=Table1[[#This Row],[Column9]],1,0)</f>
        <v>0</v>
      </c>
      <c r="K134" s="73" t="str">
        <f>IF(Table1[[#This Row],[Column8]]=1,20,"")</f>
        <v/>
      </c>
      <c r="L134" s="73" t="str">
        <f>IF(Table1[[#This Row],[Column8]]=1,J134*K134,"")</f>
        <v/>
      </c>
      <c r="M134" s="74">
        <f>VLOOKUP($B134,'Standards Crosswalk'!$A:$H,3,FALSE)</f>
        <v>0</v>
      </c>
      <c r="N134" s="74">
        <f>VLOOKUP($B134,'Standards Crosswalk'!$A:$H,4,FALSE)</f>
        <v>0</v>
      </c>
      <c r="O134" s="74" t="str">
        <f>VLOOKUP($B134,'Standards Crosswalk'!$A:$H,5,FALSE)</f>
        <v>17.1.3</v>
      </c>
      <c r="P134" s="74" t="str">
        <f>VLOOKUP($B134,'Standards Crosswalk'!$A:$H,6,FALSE)</f>
        <v>PR.DS-4</v>
      </c>
      <c r="Q134" s="74">
        <f>VLOOKUP($B134,'Standards Crosswalk'!$A:$H,7,FALSE)</f>
        <v>0</v>
      </c>
      <c r="R134" s="74">
        <f>VLOOKUP($B134,'Standards Crosswalk'!$A:$H,8,FALSE)</f>
        <v>0</v>
      </c>
      <c r="S134" s="74">
        <f>VLOOKUP($B134,'Standards Crosswalk'!$A:$I,9,FALSE)</f>
        <v>0</v>
      </c>
    </row>
    <row r="135" spans="1:19" ht="72" thickBot="1" x14ac:dyDescent="0.25">
      <c r="A135" s="73">
        <f t="shared" si="5"/>
        <v>133</v>
      </c>
      <c r="B135" s="79" t="s">
        <v>307</v>
      </c>
      <c r="C135" s="80" t="str">
        <f>VLOOKUP(B135,HECVAT!A:E,2,FALSE)</f>
        <v>Describe or provide a reference to the availability of cooling and fire suppression systems in all datacenters where institution data will reside.</v>
      </c>
      <c r="D135" s="73">
        <f>VLOOKUP(B135,HECVAT!A:E,4,FALSE)</f>
        <v>0</v>
      </c>
      <c r="E135" s="81" t="b">
        <f>IF(Table1[[#This Row],[Column11]]&gt;20,TRUE,FALSE)</f>
        <v>0</v>
      </c>
      <c r="F135" s="81" t="s">
        <v>2053</v>
      </c>
      <c r="G135" s="82" t="s">
        <v>17</v>
      </c>
      <c r="H135" s="83">
        <v>1</v>
      </c>
      <c r="I135" s="73">
        <f>VLOOKUP(B135,HECVAT!A:E,3,FALSE)</f>
        <v>0</v>
      </c>
      <c r="J135" s="73">
        <f>IF(VLOOKUP(B135,'Analyst Report'!$A$41:$H$88,7,FALSE)="Yes",1,0)</f>
        <v>0</v>
      </c>
      <c r="K135" s="73">
        <f>IF(Table1[[#This Row],[Column8]]=1,20,"")</f>
        <v>20</v>
      </c>
      <c r="L135" s="73">
        <f>IF(Table1[[#This Row],[Column8]]=1,J135*K135,"")</f>
        <v>0</v>
      </c>
      <c r="M135" s="74">
        <f>VLOOKUP($B135,'Standards Crosswalk'!$A:$H,3,FALSE)</f>
        <v>0</v>
      </c>
      <c r="N135" s="74">
        <f>VLOOKUP($B135,'Standards Crosswalk'!$A:$H,4,FALSE)</f>
        <v>0</v>
      </c>
      <c r="O135" s="74" t="str">
        <f>VLOOKUP($B135,'Standards Crosswalk'!$A:$H,5,FALSE)</f>
        <v>17.2.1</v>
      </c>
      <c r="P135" s="74">
        <f>VLOOKUP($B135,'Standards Crosswalk'!$A:$H,6,FALSE)</f>
        <v>0</v>
      </c>
      <c r="Q135" s="74">
        <f>VLOOKUP($B135,'Standards Crosswalk'!$A:$H,7,FALSE)</f>
        <v>0</v>
      </c>
      <c r="R135" s="74" t="str">
        <f>VLOOKUP($B135,'Standards Crosswalk'!$A:$H,8,FALSE)</f>
        <v>PE-2, PE-3, PE-5, PE-11, PE-13, PE-14</v>
      </c>
      <c r="S135" s="74">
        <f>VLOOKUP($B135,'Standards Crosswalk'!$A:$I,9,FALSE)</f>
        <v>0</v>
      </c>
    </row>
    <row r="136" spans="1:19" ht="72" thickBot="1" x14ac:dyDescent="0.25">
      <c r="A136" s="73">
        <f t="shared" si="5"/>
        <v>134</v>
      </c>
      <c r="B136" s="79" t="s">
        <v>308</v>
      </c>
      <c r="C136" s="80" t="str">
        <f>VLOOKUP(B136,HECVAT!A:E,2,FALSE)</f>
        <v xml:space="preserve">State how many Internet Service Providers (ISPs) provide connectivity to each datacenter where the institution's data will reside. </v>
      </c>
      <c r="D136" s="73">
        <f>VLOOKUP(B136,HECVAT!A:E,4,FALSE)</f>
        <v>0</v>
      </c>
      <c r="E136" s="81" t="b">
        <f>IF(Table1[[#This Row],[Column11]]&gt;20,TRUE,FALSE)</f>
        <v>0</v>
      </c>
      <c r="F136" s="81" t="s">
        <v>2053</v>
      </c>
      <c r="G136" s="82" t="s">
        <v>17</v>
      </c>
      <c r="H136" s="83">
        <v>1</v>
      </c>
      <c r="I136" s="73">
        <f>VLOOKUP(B136,HECVAT!A:E,3,FALSE)</f>
        <v>0</v>
      </c>
      <c r="J136" s="73">
        <f>IF(VLOOKUP(B136,'Analyst Report'!$A$41:$H$88,7,FALSE)="Yes",1,0)</f>
        <v>0</v>
      </c>
      <c r="K136" s="73">
        <f>IF(Table1[[#This Row],[Column8]]=1,20,"")</f>
        <v>20</v>
      </c>
      <c r="L136" s="73">
        <f>IF(Table1[[#This Row],[Column8]]=1,J136*K136,"")</f>
        <v>0</v>
      </c>
      <c r="M136" s="74" t="str">
        <f>VLOOKUP($B136,'Standards Crosswalk'!$A:$H,3,FALSE)</f>
        <v>CSC 10</v>
      </c>
      <c r="N136" s="74">
        <f>VLOOKUP($B136,'Standards Crosswalk'!$A:$H,4,FALSE)</f>
        <v>0</v>
      </c>
      <c r="O136" s="74" t="str">
        <f>VLOOKUP($B136,'Standards Crosswalk'!$A:$H,5,FALSE)</f>
        <v>17.2.1</v>
      </c>
      <c r="P136" s="74" t="str">
        <f>VLOOKUP($B136,'Standards Crosswalk'!$A:$H,6,FALSE)</f>
        <v>PR.DS-4</v>
      </c>
      <c r="Q136" s="74">
        <f>VLOOKUP($B136,'Standards Crosswalk'!$A:$H,7,FALSE)</f>
        <v>0</v>
      </c>
      <c r="R136" s="74" t="str">
        <f>VLOOKUP($B136,'Standards Crosswalk'!$A:$H,8,FALSE)</f>
        <v>PE-2, PE-3, PE-5, PE-11, PE-13, PE-14</v>
      </c>
      <c r="S136" s="74">
        <f>VLOOKUP($B136,'Standards Crosswalk'!$A:$I,9,FALSE)</f>
        <v>12.8</v>
      </c>
    </row>
    <row r="137" spans="1:19" ht="72" thickBot="1" x14ac:dyDescent="0.25">
      <c r="A137" s="73">
        <f t="shared" si="5"/>
        <v>135</v>
      </c>
      <c r="B137" s="79" t="s">
        <v>309</v>
      </c>
      <c r="C137" s="80" t="str">
        <f>VLOOKUP(B137,HECVAT!A:E,2,FALSE)</f>
        <v>Does every datacenter where the Institution's data will reside have multiple telephone company or network provider entrances to the facility?</v>
      </c>
      <c r="D137" s="73">
        <f>VLOOKUP(B137,HECVAT!A:E,4,FALSE)</f>
        <v>0</v>
      </c>
      <c r="E137" s="81" t="b">
        <f>IF(Table1[[#This Row],[Column11]]&gt;20,TRUE,FALSE)</f>
        <v>0</v>
      </c>
      <c r="F137" s="81" t="s">
        <v>2053</v>
      </c>
      <c r="G137" s="82" t="s">
        <v>17</v>
      </c>
      <c r="H137" s="83">
        <v>1</v>
      </c>
      <c r="I137" s="73">
        <f>VLOOKUP(B137,HECVAT!A:E,3,FALSE)</f>
        <v>0</v>
      </c>
      <c r="J137" s="73">
        <f>IF(Table1[[#This Row],[Column7]]=Table1[[#This Row],[Column9]],1,0)</f>
        <v>0</v>
      </c>
      <c r="K137" s="73">
        <f>IF(Table1[[#This Row],[Column8]]=1,20,"")</f>
        <v>20</v>
      </c>
      <c r="L137" s="73">
        <f>IF(Table1[[#This Row],[Column8]]=1,J137*K137,"")</f>
        <v>0</v>
      </c>
      <c r="M137" s="74" t="str">
        <f>VLOOKUP($B137,'Standards Crosswalk'!$A:$H,3,FALSE)</f>
        <v>CSC 13</v>
      </c>
      <c r="N137" s="74">
        <f>VLOOKUP($B137,'Standards Crosswalk'!$A:$H,4,FALSE)</f>
        <v>0</v>
      </c>
      <c r="O137" s="74" t="str">
        <f>VLOOKUP($B137,'Standards Crosswalk'!$A:$H,5,FALSE)</f>
        <v>17.2.1</v>
      </c>
      <c r="P137" s="74" t="str">
        <f>VLOOKUP($B137,'Standards Crosswalk'!$A:$H,6,FALSE)</f>
        <v>PR.DS-4</v>
      </c>
      <c r="Q137" s="74">
        <f>VLOOKUP($B137,'Standards Crosswalk'!$A:$H,7,FALSE)</f>
        <v>0</v>
      </c>
      <c r="R137" s="74" t="str">
        <f>VLOOKUP($B137,'Standards Crosswalk'!$A:$H,8,FALSE)</f>
        <v>PE-2, PE-3, PE-5, PE-11, PE-13, PE-14</v>
      </c>
      <c r="S137" s="74">
        <f>VLOOKUP($B137,'Standards Crosswalk'!$A:$I,9,FALSE)</f>
        <v>12.8</v>
      </c>
    </row>
    <row r="138" spans="1:19" ht="43.5" thickBot="1" x14ac:dyDescent="0.25">
      <c r="A138" s="73">
        <f t="shared" si="5"/>
        <v>136</v>
      </c>
      <c r="B138" s="79" t="s">
        <v>310</v>
      </c>
      <c r="C138" s="80" t="str">
        <f>VLOOKUP(B138,HECVAT!A:E,2,FALSE)</f>
        <v>Describe or provide a reference to your Disaster Recovery Plan (DRP).</v>
      </c>
      <c r="D138" s="73">
        <f>VLOOKUP(B138,HECVAT!A:E,4,FALSE)</f>
        <v>0</v>
      </c>
      <c r="E138" s="81" t="b">
        <f>IF(Table1[[#This Row],[Column11]]&gt;20,TRUE,FALSE)</f>
        <v>1</v>
      </c>
      <c r="F138" s="81" t="s">
        <v>2054</v>
      </c>
      <c r="G138" s="82" t="s">
        <v>17</v>
      </c>
      <c r="H138" s="83">
        <v>1</v>
      </c>
      <c r="I138" s="73">
        <f>VLOOKUP(B138,HECVAT!A:E,3,FALSE)</f>
        <v>0</v>
      </c>
      <c r="J138" s="73">
        <f>IF(VLOOKUP(B138,'Analyst Report'!$A$41:$H$88,7,FALSE)="Yes",1,0)</f>
        <v>0</v>
      </c>
      <c r="K138" s="73">
        <f>IF(Table1[[#This Row],[Column8]]=1,25,"")</f>
        <v>25</v>
      </c>
      <c r="L138" s="73">
        <f>IF(Table1[[#This Row],[Column8]]=1,J138*K138,"")</f>
        <v>0</v>
      </c>
      <c r="M138" s="74" t="str">
        <f>VLOOKUP($B138,'Standards Crosswalk'!$A:$H,3,FALSE)</f>
        <v>CSC 10</v>
      </c>
      <c r="N138" s="74">
        <f>VLOOKUP($B138,'Standards Crosswalk'!$A:$H,4,FALSE)</f>
        <v>0</v>
      </c>
      <c r="O138" s="74" t="str">
        <f>VLOOKUP($B138,'Standards Crosswalk'!$A:$H,5,FALSE)</f>
        <v>17.1.1</v>
      </c>
      <c r="P138" s="74" t="str">
        <f>VLOOKUP($B138,'Standards Crosswalk'!$A:$H,6,FALSE)</f>
        <v>PR.IP-9</v>
      </c>
      <c r="Q138" s="74" t="str">
        <f>VLOOKUP($B138,'Standards Crosswalk'!$A:$H,7,FALSE)</f>
        <v>3.12.2</v>
      </c>
      <c r="R138" s="74" t="str">
        <f>VLOOKUP($B138,'Standards Crosswalk'!$A:$H,8,FALSE)</f>
        <v>AC-5, CP-4, CP-10; NIST SP 800-34</v>
      </c>
      <c r="S138" s="74">
        <f>VLOOKUP($B138,'Standards Crosswalk'!$A:$I,9,FALSE)</f>
        <v>12.8</v>
      </c>
    </row>
    <row r="139" spans="1:19" ht="43.5" thickBot="1" x14ac:dyDescent="0.25">
      <c r="A139" s="73">
        <f t="shared" si="5"/>
        <v>137</v>
      </c>
      <c r="B139" s="79" t="s">
        <v>311</v>
      </c>
      <c r="C139" s="80" t="str">
        <f>VLOOKUP(B139,HECVAT!A:E,2,FALSE)</f>
        <v>Is an owner assigned who is responsible for the maintenance and review of the DRP?</v>
      </c>
      <c r="D139" s="73">
        <f>VLOOKUP(B139,HECVAT!A:E,4,FALSE)</f>
        <v>0</v>
      </c>
      <c r="E139" s="81" t="b">
        <f>IF(Table1[[#This Row],[Column11]]&gt;20,TRUE,FALSE)</f>
        <v>0</v>
      </c>
      <c r="F139" s="81" t="s">
        <v>2054</v>
      </c>
      <c r="G139" s="82" t="s">
        <v>17</v>
      </c>
      <c r="H139" s="83">
        <v>1</v>
      </c>
      <c r="I139" s="73">
        <f>VLOOKUP(B139,HECVAT!A:E,3,FALSE)</f>
        <v>0</v>
      </c>
      <c r="J139" s="73">
        <f>IF(Table1[[#This Row],[Column7]]=Table1[[#This Row],[Column9]],1,0)</f>
        <v>0</v>
      </c>
      <c r="K139" s="73">
        <f>IF(Table1[[#This Row],[Column8]]=1,20,"")</f>
        <v>20</v>
      </c>
      <c r="L139" s="73">
        <f>IF(Table1[[#This Row],[Column8]]=1,J139*K139,"")</f>
        <v>0</v>
      </c>
      <c r="M139" s="74" t="str">
        <f>VLOOKUP($B139,'Standards Crosswalk'!$A:$H,3,FALSE)</f>
        <v>CSC 10</v>
      </c>
      <c r="N139" s="74">
        <f>VLOOKUP($B139,'Standards Crosswalk'!$A:$H,4,FALSE)</f>
        <v>0</v>
      </c>
      <c r="O139" s="74" t="str">
        <f>VLOOKUP($B139,'Standards Crosswalk'!$A:$H,5,FALSE)</f>
        <v>16.1.1, 17.1.1</v>
      </c>
      <c r="P139" s="74" t="str">
        <f>VLOOKUP($B139,'Standards Crosswalk'!$A:$H,6,FALSE)</f>
        <v>PR.IP-9</v>
      </c>
      <c r="Q139" s="74" t="str">
        <f>VLOOKUP($B139,'Standards Crosswalk'!$A:$H,7,FALSE)</f>
        <v>3.12.2</v>
      </c>
      <c r="R139" s="74" t="str">
        <f>VLOOKUP($B139,'Standards Crosswalk'!$A:$H,8,FALSE)</f>
        <v>AC-5, CP-4, CP-10; NIST SP 800-34</v>
      </c>
      <c r="S139" s="74">
        <f>VLOOKUP($B139,'Standards Crosswalk'!$A:$I,9,FALSE)</f>
        <v>12.8</v>
      </c>
    </row>
    <row r="140" spans="1:19" ht="43.5" thickBot="1" x14ac:dyDescent="0.25">
      <c r="A140" s="73">
        <f t="shared" si="5"/>
        <v>138</v>
      </c>
      <c r="B140" s="79" t="s">
        <v>312</v>
      </c>
      <c r="C140" s="80" t="str">
        <f>VLOOKUP(B140,HECVAT!A:E,2,FALSE)</f>
        <v>Can the Institution review your DRP and supporting documentation?</v>
      </c>
      <c r="D140" s="73">
        <f>VLOOKUP(B140,HECVAT!A:E,4,FALSE)</f>
        <v>0</v>
      </c>
      <c r="E140" s="81" t="b">
        <f>IF(Table1[[#This Row],[Column11]]&gt;20,TRUE,FALSE)</f>
        <v>0</v>
      </c>
      <c r="F140" s="81" t="s">
        <v>2054</v>
      </c>
      <c r="G140" s="82" t="s">
        <v>17</v>
      </c>
      <c r="H140" s="83">
        <v>1</v>
      </c>
      <c r="I140" s="73">
        <f>VLOOKUP(B140,HECVAT!A:E,3,FALSE)</f>
        <v>0</v>
      </c>
      <c r="J140" s="73">
        <f>IF(Table1[[#This Row],[Column7]]=Table1[[#This Row],[Column9]],1,0)</f>
        <v>0</v>
      </c>
      <c r="K140" s="73">
        <f>IF(Table1[[#This Row],[Column8]]=1,20,"")</f>
        <v>20</v>
      </c>
      <c r="L140" s="73">
        <f>IF(Table1[[#This Row],[Column8]]=1,J140*K140,"")</f>
        <v>0</v>
      </c>
      <c r="M140" s="74" t="str">
        <f>VLOOKUP($B140,'Standards Crosswalk'!$A:$H,3,FALSE)</f>
        <v>CSC 10</v>
      </c>
      <c r="N140" s="74">
        <f>VLOOKUP($B140,'Standards Crosswalk'!$A:$H,4,FALSE)</f>
        <v>0</v>
      </c>
      <c r="O140" s="74">
        <f>VLOOKUP($B140,'Standards Crosswalk'!$A:$H,5,FALSE)</f>
        <v>0</v>
      </c>
      <c r="P140" s="74" t="str">
        <f>VLOOKUP($B140,'Standards Crosswalk'!$A:$H,6,FALSE)</f>
        <v>PR.IP-9</v>
      </c>
      <c r="Q140" s="74" t="str">
        <f>VLOOKUP($B140,'Standards Crosswalk'!$A:$H,7,FALSE)</f>
        <v>3.12.2</v>
      </c>
      <c r="R140" s="74" t="str">
        <f>VLOOKUP($B140,'Standards Crosswalk'!$A:$H,8,FALSE)</f>
        <v>AC-5, CP-4, CP-10; NIST SP 800-34</v>
      </c>
      <c r="S140" s="74">
        <f>VLOOKUP($B140,'Standards Crosswalk'!$A:$I,9,FALSE)</f>
        <v>12.8</v>
      </c>
    </row>
    <row r="141" spans="1:19" ht="43.5" thickBot="1" x14ac:dyDescent="0.25">
      <c r="A141" s="73">
        <f t="shared" si="5"/>
        <v>139</v>
      </c>
      <c r="B141" s="79" t="s">
        <v>313</v>
      </c>
      <c r="C141" s="80" t="str">
        <f>VLOOKUP(B141,HECVAT!A:E,2,FALSE)</f>
        <v>Are any disaster recovery locations outside the Institution's Data Zone?</v>
      </c>
      <c r="D141" s="73">
        <f>VLOOKUP(B141,HECVAT!A:E,4,FALSE)</f>
        <v>0</v>
      </c>
      <c r="E141" s="81" t="b">
        <f>IF(Table1[[#This Row],[Column11]]&gt;20,TRUE,FALSE)</f>
        <v>0</v>
      </c>
      <c r="F141" s="81" t="s">
        <v>2054</v>
      </c>
      <c r="G141" s="82" t="s">
        <v>21</v>
      </c>
      <c r="H141" s="83">
        <v>1</v>
      </c>
      <c r="I141" s="73">
        <f>VLOOKUP(B141,HECVAT!A:E,3,FALSE)</f>
        <v>0</v>
      </c>
      <c r="J141" s="73">
        <f>IF(Table1[[#This Row],[Column7]]=Table1[[#This Row],[Column9]],1,0)</f>
        <v>0</v>
      </c>
      <c r="K141" s="73">
        <f>IF(Table1[[#This Row],[Column8]]=1,20,"")</f>
        <v>20</v>
      </c>
      <c r="L141" s="73">
        <f>IF(Table1[[#This Row],[Column8]]=1,J141*K141,"")</f>
        <v>0</v>
      </c>
      <c r="M141" s="74" t="str">
        <f>VLOOKUP($B141,'Standards Crosswalk'!$A:$H,3,FALSE)</f>
        <v>CSC 10, CSC 12</v>
      </c>
      <c r="N141" s="74">
        <f>VLOOKUP($B141,'Standards Crosswalk'!$A:$H,4,FALSE)</f>
        <v>0</v>
      </c>
      <c r="O141" s="74" t="str">
        <f>VLOOKUP($B141,'Standards Crosswalk'!$A:$H,5,FALSE)</f>
        <v>17.1.1</v>
      </c>
      <c r="P141" s="74" t="str">
        <f>VLOOKUP($B141,'Standards Crosswalk'!$A:$H,6,FALSE)</f>
        <v>PR.IP-9</v>
      </c>
      <c r="Q141" s="74">
        <f>VLOOKUP($B141,'Standards Crosswalk'!$A:$H,7,FALSE)</f>
        <v>0</v>
      </c>
      <c r="R141" s="74" t="str">
        <f>VLOOKUP($B141,'Standards Crosswalk'!$A:$H,8,FALSE)</f>
        <v>AC-5, CP-4, CP-10; NIST SP 800-34</v>
      </c>
      <c r="S141" s="74">
        <f>VLOOKUP($B141,'Standards Crosswalk'!$A:$I,9,FALSE)</f>
        <v>12.8</v>
      </c>
    </row>
    <row r="142" spans="1:19" ht="57.75" thickBot="1" x14ac:dyDescent="0.25">
      <c r="A142" s="73">
        <f t="shared" si="5"/>
        <v>140</v>
      </c>
      <c r="B142" s="79" t="s">
        <v>314</v>
      </c>
      <c r="C142" s="80" t="str">
        <f>VLOOKUP(B142,HECVAT!A:E,2,FALSE)</f>
        <v>Does your organization have a disaster recovery site or a contracted Disaster Recovery provider?</v>
      </c>
      <c r="D142" s="73">
        <f>VLOOKUP(B142,HECVAT!A:E,4,FALSE)</f>
        <v>0</v>
      </c>
      <c r="E142" s="81" t="b">
        <f>IF(Table1[[#This Row],[Column11]]&gt;20,TRUE,FALSE)</f>
        <v>0</v>
      </c>
      <c r="F142" s="81" t="s">
        <v>2054</v>
      </c>
      <c r="G142" s="82" t="s">
        <v>17</v>
      </c>
      <c r="H142" s="83">
        <v>1</v>
      </c>
      <c r="I142" s="73">
        <f>VLOOKUP(B142,HECVAT!A:E,3,FALSE)</f>
        <v>0</v>
      </c>
      <c r="J142" s="73">
        <f>IF(Table1[[#This Row],[Column7]]=Table1[[#This Row],[Column9]],1,0)</f>
        <v>0</v>
      </c>
      <c r="K142" s="73">
        <f>IF(Table1[[#This Row],[Column8]]=1,20,"")</f>
        <v>20</v>
      </c>
      <c r="L142" s="73">
        <f>IF(Table1[[#This Row],[Column8]]=1,J142*K142,"")</f>
        <v>0</v>
      </c>
      <c r="M142" s="74" t="str">
        <f>VLOOKUP($B142,'Standards Crosswalk'!$A:$H,3,FALSE)</f>
        <v>CSC 10</v>
      </c>
      <c r="N142" s="74">
        <f>VLOOKUP($B142,'Standards Crosswalk'!$A:$H,4,FALSE)</f>
        <v>0</v>
      </c>
      <c r="O142" s="74" t="str">
        <f>VLOOKUP($B142,'Standards Crosswalk'!$A:$H,5,FALSE)</f>
        <v>17.2.1</v>
      </c>
      <c r="P142" s="74" t="str">
        <f>VLOOKUP($B142,'Standards Crosswalk'!$A:$H,6,FALSE)</f>
        <v>PR.IP-9</v>
      </c>
      <c r="Q142" s="74">
        <f>VLOOKUP($B142,'Standards Crosswalk'!$A:$H,7,FALSE)</f>
        <v>0</v>
      </c>
      <c r="R142" s="74" t="str">
        <f>VLOOKUP($B142,'Standards Crosswalk'!$A:$H,8,FALSE)</f>
        <v>AC-5, CP-4, CP-10; NIST SP 800-34</v>
      </c>
      <c r="S142" s="74">
        <f>VLOOKUP($B142,'Standards Crosswalk'!$A:$I,9,FALSE)</f>
        <v>0</v>
      </c>
    </row>
    <row r="143" spans="1:19" ht="43.5" thickBot="1" x14ac:dyDescent="0.25">
      <c r="A143" s="73">
        <f t="shared" si="5"/>
        <v>141</v>
      </c>
      <c r="B143" s="97" t="s">
        <v>315</v>
      </c>
      <c r="C143" s="80" t="str">
        <f>VLOOKUP(B143,HECVAT!A:E,2,FALSE)</f>
        <v>Does your organization conduct an annual test of relocating to this site for disaster recovery purposes?</v>
      </c>
      <c r="D143" s="73">
        <f>VLOOKUP(B143,HECVAT!A:E,4,FALSE)</f>
        <v>0</v>
      </c>
      <c r="E143" s="81" t="b">
        <f>IF(Table1[[#This Row],[Column11]]&gt;20,TRUE,FALSE)</f>
        <v>1</v>
      </c>
      <c r="F143" s="81" t="s">
        <v>2054</v>
      </c>
      <c r="G143" s="82" t="s">
        <v>17</v>
      </c>
      <c r="H143" s="83">
        <f>IF(I142="Yes",1,0)</f>
        <v>0</v>
      </c>
      <c r="I143" s="73">
        <f>VLOOKUP(B143,HECVAT!A:E,3,FALSE)</f>
        <v>0</v>
      </c>
      <c r="J143" s="73">
        <f>IF(Table1[[#This Row],[Column7]]=Table1[[#This Row],[Column9]],1,0)</f>
        <v>0</v>
      </c>
      <c r="K143" s="73" t="str">
        <f>IF(Table1[[#This Row],[Column8]]=1,20,"")</f>
        <v/>
      </c>
      <c r="L143" s="73" t="str">
        <f>IF(Table1[[#This Row],[Column8]]=1,J143*K143,"")</f>
        <v/>
      </c>
      <c r="M143" s="74" t="str">
        <f>VLOOKUP($B143,'Standards Crosswalk'!$A:$H,3,FALSE)</f>
        <v>CSC 10</v>
      </c>
      <c r="N143" s="74">
        <f>VLOOKUP($B143,'Standards Crosswalk'!$A:$H,4,FALSE)</f>
        <v>0</v>
      </c>
      <c r="O143" s="74" t="str">
        <f>VLOOKUP($B143,'Standards Crosswalk'!$A:$H,5,FALSE)</f>
        <v>17.1.3</v>
      </c>
      <c r="P143" s="74" t="str">
        <f>VLOOKUP($B143,'Standards Crosswalk'!$A:$H,6,FALSE)</f>
        <v>PR.IP-9</v>
      </c>
      <c r="Q143" s="74">
        <f>VLOOKUP($B143,'Standards Crosswalk'!$A:$H,7,FALSE)</f>
        <v>0</v>
      </c>
      <c r="R143" s="74" t="str">
        <f>VLOOKUP($B143,'Standards Crosswalk'!$A:$H,8,FALSE)</f>
        <v>AC-5, CP-4, CP-10; NIST SP 800-34</v>
      </c>
      <c r="S143" s="74">
        <f>VLOOKUP($B143,'Standards Crosswalk'!$A:$I,9,FALSE)</f>
        <v>0</v>
      </c>
    </row>
    <row r="144" spans="1:19" ht="43.5" thickBot="1" x14ac:dyDescent="0.25">
      <c r="A144" s="73">
        <f t="shared" si="5"/>
        <v>142</v>
      </c>
      <c r="B144" s="79" t="s">
        <v>316</v>
      </c>
      <c r="C144" s="80" t="str">
        <f>VLOOKUP(B144,HECVAT!A:E,2,FALSE)</f>
        <v>Is there a defined problem/issue escalation plan in your DRP for impacted clients?</v>
      </c>
      <c r="D144" s="73">
        <f>VLOOKUP(B144,HECVAT!A:E,4,FALSE)</f>
        <v>0</v>
      </c>
      <c r="E144" s="81" t="b">
        <f>IF(Table1[[#This Row],[Column11]]&gt;20,TRUE,FALSE)</f>
        <v>1</v>
      </c>
      <c r="F144" s="81" t="s">
        <v>2054</v>
      </c>
      <c r="G144" s="82" t="s">
        <v>17</v>
      </c>
      <c r="H144" s="83">
        <v>1</v>
      </c>
      <c r="I144" s="73">
        <f>VLOOKUP(B144,HECVAT!A:E,3,FALSE)</f>
        <v>0</v>
      </c>
      <c r="J144" s="73">
        <f>IF(Table1[[#This Row],[Column7]]=Table1[[#This Row],[Column9]],1,0)</f>
        <v>0</v>
      </c>
      <c r="K144" s="73">
        <v>25</v>
      </c>
      <c r="L144" s="73">
        <f>IF(Table1[[#This Row],[Column8]]=1,J144*K144,"")</f>
        <v>0</v>
      </c>
      <c r="M144" s="74" t="str">
        <f>VLOOKUP($B144,'Standards Crosswalk'!$A:$H,3,FALSE)</f>
        <v>CSC 10</v>
      </c>
      <c r="N144" s="74">
        <f>VLOOKUP($B144,'Standards Crosswalk'!$A:$H,4,FALSE)</f>
        <v>0</v>
      </c>
      <c r="O144" s="74">
        <f>VLOOKUP($B144,'Standards Crosswalk'!$A:$H,5,FALSE)</f>
        <v>0</v>
      </c>
      <c r="P144" s="74" t="str">
        <f>VLOOKUP($B144,'Standards Crosswalk'!$A:$H,6,FALSE)</f>
        <v>PR.IP-9</v>
      </c>
      <c r="Q144" s="74" t="str">
        <f>VLOOKUP($B144,'Standards Crosswalk'!$A:$H,7,FALSE)</f>
        <v>3.12.2</v>
      </c>
      <c r="R144" s="74" t="str">
        <f>VLOOKUP($B144,'Standards Crosswalk'!$A:$H,8,FALSE)</f>
        <v>AC-5, CP-4, CP-10; NIST SP 800-34</v>
      </c>
      <c r="S144" s="74">
        <f>VLOOKUP($B144,'Standards Crosswalk'!$A:$I,9,FALSE)</f>
        <v>12.8</v>
      </c>
    </row>
    <row r="145" spans="1:19" ht="43.5" thickBot="1" x14ac:dyDescent="0.25">
      <c r="A145" s="73">
        <f t="shared" si="5"/>
        <v>143</v>
      </c>
      <c r="B145" s="79" t="s">
        <v>317</v>
      </c>
      <c r="C145" s="80" t="str">
        <f>VLOOKUP(B145,HECVAT!A:E,2,FALSE)</f>
        <v>Is there a documented communication plan in your DRP for impacted clients?</v>
      </c>
      <c r="D145" s="73">
        <f>VLOOKUP(B145,HECVAT!A:E,4,FALSE)</f>
        <v>0</v>
      </c>
      <c r="E145" s="81" t="b">
        <f>IF(Table1[[#This Row],[Column11]]&gt;20,TRUE,FALSE)</f>
        <v>0</v>
      </c>
      <c r="F145" s="81" t="s">
        <v>2054</v>
      </c>
      <c r="G145" s="82" t="s">
        <v>17</v>
      </c>
      <c r="H145" s="83">
        <v>1</v>
      </c>
      <c r="I145" s="73">
        <f>VLOOKUP(B145,HECVAT!A:E,3,FALSE)</f>
        <v>0</v>
      </c>
      <c r="J145" s="73">
        <f>IF(Table1[[#This Row],[Column7]]=Table1[[#This Row],[Column9]],1,0)</f>
        <v>0</v>
      </c>
      <c r="K145" s="73">
        <f>IF(Table1[[#This Row],[Column8]]=1,20,"")</f>
        <v>20</v>
      </c>
      <c r="L145" s="73">
        <f>IF(Table1[[#This Row],[Column8]]=1,J145*K145,"")</f>
        <v>0</v>
      </c>
      <c r="M145" s="74" t="str">
        <f>VLOOKUP($B145,'Standards Crosswalk'!$A:$H,3,FALSE)</f>
        <v>CSC 10</v>
      </c>
      <c r="N145" s="74">
        <f>VLOOKUP($B145,'Standards Crosswalk'!$A:$H,4,FALSE)</f>
        <v>0</v>
      </c>
      <c r="O145" s="74" t="str">
        <f>VLOOKUP($B145,'Standards Crosswalk'!$A:$H,5,FALSE)</f>
        <v>17.1.2</v>
      </c>
      <c r="P145" s="74" t="str">
        <f>VLOOKUP($B145,'Standards Crosswalk'!$A:$H,6,FALSE)</f>
        <v>PR.IP-9</v>
      </c>
      <c r="Q145" s="74" t="str">
        <f>VLOOKUP($B145,'Standards Crosswalk'!$A:$H,7,FALSE)</f>
        <v>3.12.2</v>
      </c>
      <c r="R145" s="74" t="str">
        <f>VLOOKUP($B145,'Standards Crosswalk'!$A:$H,8,FALSE)</f>
        <v>AC-5, CP-4, CP-10; NIST SP 800-34</v>
      </c>
      <c r="S145" s="74">
        <f>VLOOKUP($B145,'Standards Crosswalk'!$A:$I,9,FALSE)</f>
        <v>12.8</v>
      </c>
    </row>
    <row r="146" spans="1:19" ht="57.75" thickBot="1" x14ac:dyDescent="0.25">
      <c r="A146" s="73">
        <f t="shared" si="5"/>
        <v>144</v>
      </c>
      <c r="B146" s="79" t="s">
        <v>318</v>
      </c>
      <c r="C146" s="80" t="str">
        <f>VLOOKUP(B146,HECVAT!A:E,2,FALSE)</f>
        <v>Describe or provide a reference to how your disaster recovery plan is tested? (i.e. scope of DR tests, end-to-end testing, etc.)</v>
      </c>
      <c r="D146" s="73">
        <f>VLOOKUP(B146,HECVAT!A:E,4,FALSE)</f>
        <v>0</v>
      </c>
      <c r="E146" s="81" t="b">
        <f>IF(Table1[[#This Row],[Column11]]&gt;20,TRUE,FALSE)</f>
        <v>0</v>
      </c>
      <c r="F146" s="81" t="s">
        <v>2054</v>
      </c>
      <c r="G146" s="82" t="s">
        <v>17</v>
      </c>
      <c r="H146" s="83">
        <v>1</v>
      </c>
      <c r="I146" s="73">
        <f>VLOOKUP(B146,HECVAT!A:E,3,FALSE)</f>
        <v>0</v>
      </c>
      <c r="J146" s="73">
        <f>IF(VLOOKUP(B146,'Analyst Report'!$A$41:$H$88,7,FALSE)="Yes",1,0)</f>
        <v>0</v>
      </c>
      <c r="K146" s="73">
        <f>IF(Table1[[#This Row],[Column8]]=1,20,"")</f>
        <v>20</v>
      </c>
      <c r="L146" s="73">
        <f>IF(Table1[[#This Row],[Column8]]=1,J146*K146,"")</f>
        <v>0</v>
      </c>
      <c r="M146" s="74" t="str">
        <f>VLOOKUP($B146,'Standards Crosswalk'!$A:$H,3,FALSE)</f>
        <v>CSC 10</v>
      </c>
      <c r="N146" s="74">
        <f>VLOOKUP($B146,'Standards Crosswalk'!$A:$H,4,FALSE)</f>
        <v>0</v>
      </c>
      <c r="O146" s="74" t="str">
        <f>VLOOKUP($B146,'Standards Crosswalk'!$A:$H,5,FALSE)</f>
        <v>17.1.3</v>
      </c>
      <c r="P146" s="74" t="str">
        <f>VLOOKUP($B146,'Standards Crosswalk'!$A:$H,6,FALSE)</f>
        <v>PR.IP-9</v>
      </c>
      <c r="Q146" s="74" t="str">
        <f>VLOOKUP($B146,'Standards Crosswalk'!$A:$H,7,FALSE)</f>
        <v>3.12.2</v>
      </c>
      <c r="R146" s="74" t="str">
        <f>VLOOKUP($B146,'Standards Crosswalk'!$A:$H,8,FALSE)</f>
        <v>AC-5, CP-4, CP-10; NIST SP 800-34</v>
      </c>
      <c r="S146" s="74">
        <f>VLOOKUP($B146,'Standards Crosswalk'!$A:$I,9,FALSE)</f>
        <v>0</v>
      </c>
    </row>
    <row r="147" spans="1:19" ht="72" thickBot="1" x14ac:dyDescent="0.25">
      <c r="A147" s="73">
        <f t="shared" si="5"/>
        <v>145</v>
      </c>
      <c r="B147" s="79" t="s">
        <v>319</v>
      </c>
      <c r="C147" s="80" t="str">
        <f>VLOOKUP(B147,HECVAT!A:E,2,FALSE)</f>
        <v>Has the Disaster Recovery Plan been tested in the last year?  Please provide a summary of the results in Additional Information (including actual recovery time).</v>
      </c>
      <c r="D147" s="73">
        <f>VLOOKUP(B147,HECVAT!A:E,4,FALSE)</f>
        <v>0</v>
      </c>
      <c r="E147" s="81" t="b">
        <f>IF(Table1[[#This Row],[Column11]]&gt;20,TRUE,FALSE)</f>
        <v>0</v>
      </c>
      <c r="F147" s="81" t="s">
        <v>2054</v>
      </c>
      <c r="G147" s="82" t="s">
        <v>17</v>
      </c>
      <c r="H147" s="83">
        <v>1</v>
      </c>
      <c r="I147" s="73">
        <f>VLOOKUP(B147,HECVAT!A:E,3,FALSE)</f>
        <v>0</v>
      </c>
      <c r="J147" s="73">
        <f>IF(Table1[[#This Row],[Column7]]=Table1[[#This Row],[Column9]],1,0)</f>
        <v>0</v>
      </c>
      <c r="K147" s="73">
        <f>IF(Table1[[#This Row],[Column8]]=1,20,"")</f>
        <v>20</v>
      </c>
      <c r="L147" s="73">
        <f>IF(Table1[[#This Row],[Column8]]=1,J147*K147,"")</f>
        <v>0</v>
      </c>
      <c r="M147" s="74" t="str">
        <f>VLOOKUP($B147,'Standards Crosswalk'!$A:$H,3,FALSE)</f>
        <v>CSC 10</v>
      </c>
      <c r="N147" s="74">
        <f>VLOOKUP($B147,'Standards Crosswalk'!$A:$H,4,FALSE)</f>
        <v>0</v>
      </c>
      <c r="O147" s="74" t="str">
        <f>VLOOKUP($B147,'Standards Crosswalk'!$A:$H,5,FALSE)</f>
        <v>17.1.3</v>
      </c>
      <c r="P147" s="74" t="str">
        <f>VLOOKUP($B147,'Standards Crosswalk'!$A:$H,6,FALSE)</f>
        <v>PR.IP-9</v>
      </c>
      <c r="Q147" s="74" t="str">
        <f>VLOOKUP($B147,'Standards Crosswalk'!$A:$H,7,FALSE)</f>
        <v>3.12.2</v>
      </c>
      <c r="R147" s="74" t="str">
        <f>VLOOKUP($B147,'Standards Crosswalk'!$A:$H,8,FALSE)</f>
        <v>AC-5, CP-4, CP-10; NIST SP 800-34</v>
      </c>
      <c r="S147" s="74">
        <f>VLOOKUP($B147,'Standards Crosswalk'!$A:$I,9,FALSE)</f>
        <v>0</v>
      </c>
    </row>
    <row r="148" spans="1:19" ht="57.75" thickBot="1" x14ac:dyDescent="0.25">
      <c r="A148" s="73">
        <f t="shared" si="5"/>
        <v>146</v>
      </c>
      <c r="B148" s="97" t="s">
        <v>320</v>
      </c>
      <c r="C148" s="80" t="str">
        <f>VLOOKUP(B148,HECVAT!A:E,2,FALSE)</f>
        <v>Do the documented test results identify your organizations actual recovery time capabilities for technology and facilities?</v>
      </c>
      <c r="D148" s="73">
        <f>VLOOKUP(B148,HECVAT!A:E,4,FALSE)</f>
        <v>0</v>
      </c>
      <c r="E148" s="81" t="b">
        <f>IF(Table1[[#This Row],[Column11]]&gt;20,TRUE,FALSE)</f>
        <v>1</v>
      </c>
      <c r="F148" s="81" t="s">
        <v>2054</v>
      </c>
      <c r="G148" s="82" t="s">
        <v>17</v>
      </c>
      <c r="H148" s="83">
        <f>IF(I147="Yes",1,0)</f>
        <v>0</v>
      </c>
      <c r="I148" s="73">
        <f>VLOOKUP(B148,HECVAT!A:E,3,FALSE)</f>
        <v>0</v>
      </c>
      <c r="J148" s="73">
        <f>IF(Table1[[#This Row],[Column7]]=Table1[[#This Row],[Column9]],1,0)</f>
        <v>0</v>
      </c>
      <c r="K148" s="73" t="str">
        <f>IF(Table1[[#This Row],[Column8]]=1,20,"")</f>
        <v/>
      </c>
      <c r="L148" s="73" t="str">
        <f>IF(Table1[[#This Row],[Column8]]=1,J148*K148,"")</f>
        <v/>
      </c>
      <c r="M148" s="74" t="str">
        <f>VLOOKUP($B148,'Standards Crosswalk'!$A:$H,3,FALSE)</f>
        <v>CSC 10</v>
      </c>
      <c r="N148" s="74">
        <f>VLOOKUP($B148,'Standards Crosswalk'!$A:$H,4,FALSE)</f>
        <v>0</v>
      </c>
      <c r="O148" s="74" t="str">
        <f>VLOOKUP($B148,'Standards Crosswalk'!$A:$H,5,FALSE)</f>
        <v>7.1.3</v>
      </c>
      <c r="P148" s="74" t="str">
        <f>VLOOKUP($B148,'Standards Crosswalk'!$A:$H,6,FALSE)</f>
        <v>PR.IP-9</v>
      </c>
      <c r="Q148" s="74">
        <f>VLOOKUP($B148,'Standards Crosswalk'!$A:$H,7,FALSE)</f>
        <v>0</v>
      </c>
      <c r="R148" s="74" t="str">
        <f>VLOOKUP($B148,'Standards Crosswalk'!$A:$H,8,FALSE)</f>
        <v>AC-5, CP-4, CP-10; NIST SP 800-34</v>
      </c>
      <c r="S148" s="74">
        <f>VLOOKUP($B148,'Standards Crosswalk'!$A:$I,9,FALSE)</f>
        <v>12.8</v>
      </c>
    </row>
    <row r="149" spans="1:19" ht="57.75" thickBot="1" x14ac:dyDescent="0.25">
      <c r="A149" s="73">
        <f t="shared" si="5"/>
        <v>147</v>
      </c>
      <c r="B149" s="79" t="s">
        <v>321</v>
      </c>
      <c r="C149" s="80" t="str">
        <f>VLOOKUP(B149,HECVAT!A:E,2,FALSE)</f>
        <v xml:space="preserve">Are all components of the DRP reviewed at least annually and updated as needed to reflect change? </v>
      </c>
      <c r="D149" s="73">
        <f>VLOOKUP(B149,HECVAT!A:E,4,FALSE)</f>
        <v>0</v>
      </c>
      <c r="E149" s="81" t="b">
        <f>IF(Table1[[#This Row],[Column11]]&gt;20,TRUE,FALSE)</f>
        <v>0</v>
      </c>
      <c r="F149" s="81" t="s">
        <v>2054</v>
      </c>
      <c r="G149" s="82" t="s">
        <v>17</v>
      </c>
      <c r="H149" s="83">
        <v>1</v>
      </c>
      <c r="I149" s="73">
        <f>VLOOKUP(B149,HECVAT!A:E,3,FALSE)</f>
        <v>0</v>
      </c>
      <c r="J149" s="73">
        <f>IF(Table1[[#This Row],[Column7]]=Table1[[#This Row],[Column9]],1,0)</f>
        <v>0</v>
      </c>
      <c r="K149" s="73">
        <f>IF(Table1[[#This Row],[Column8]]=1,20,"")</f>
        <v>20</v>
      </c>
      <c r="L149" s="73">
        <f>IF(Table1[[#This Row],[Column8]]=1,J149*K149,"")</f>
        <v>0</v>
      </c>
      <c r="M149" s="74" t="str">
        <f>VLOOKUP($B149,'Standards Crosswalk'!$A:$H,3,FALSE)</f>
        <v>CSC 10</v>
      </c>
      <c r="N149" s="74">
        <f>VLOOKUP($B149,'Standards Crosswalk'!$A:$H,4,FALSE)</f>
        <v>0</v>
      </c>
      <c r="O149" s="74" t="str">
        <f>VLOOKUP($B149,'Standards Crosswalk'!$A:$H,5,FALSE)</f>
        <v>17.1.1</v>
      </c>
      <c r="P149" s="74" t="str">
        <f>VLOOKUP($B149,'Standards Crosswalk'!$A:$H,6,FALSE)</f>
        <v>PR.IP-9</v>
      </c>
      <c r="Q149" s="74" t="str">
        <f>VLOOKUP($B149,'Standards Crosswalk'!$A:$H,7,FALSE)</f>
        <v>3.12.2</v>
      </c>
      <c r="R149" s="74" t="str">
        <f>VLOOKUP($B149,'Standards Crosswalk'!$A:$H,8,FALSE)</f>
        <v>AC-5, CP-4, CP-10; NIST SP 800-34</v>
      </c>
      <c r="S149" s="74">
        <f>VLOOKUP($B149,'Standards Crosswalk'!$A:$I,9,FALSE)</f>
        <v>0</v>
      </c>
    </row>
    <row r="150" spans="1:19" ht="57.75" thickBot="1" x14ac:dyDescent="0.25">
      <c r="A150" s="73">
        <f t="shared" si="5"/>
        <v>148</v>
      </c>
      <c r="B150" s="79" t="s">
        <v>322</v>
      </c>
      <c r="C150" s="80" t="str">
        <f>VLOOKUP(B150,HECVAT!A:E,2,FALSE)</f>
        <v>Do you carry cyber-risk insurance to protect against unforeseen service outages, data that is lost or stolen, and security incidents?</v>
      </c>
      <c r="D150" s="73">
        <f>VLOOKUP(B150,HECVAT!A:E,4,FALSE)</f>
        <v>0</v>
      </c>
      <c r="E150" s="81" t="b">
        <f>IF(Table1[[#This Row],[Column11]]&gt;20,TRUE,FALSE)</f>
        <v>0</v>
      </c>
      <c r="F150" s="81" t="s">
        <v>2054</v>
      </c>
      <c r="G150" s="82" t="s">
        <v>17</v>
      </c>
      <c r="H150" s="83">
        <v>1</v>
      </c>
      <c r="I150" s="73">
        <f>VLOOKUP(B150,HECVAT!A:E,3,FALSE)</f>
        <v>0</v>
      </c>
      <c r="J150" s="73">
        <f>IF(Table1[[#This Row],[Column7]]=Table1[[#This Row],[Column9]],1,0)</f>
        <v>0</v>
      </c>
      <c r="K150" s="73">
        <f>IF(Table1[[#This Row],[Column8]]=1,20,"")</f>
        <v>20</v>
      </c>
      <c r="L150" s="73">
        <f>IF(Table1[[#This Row],[Column8]]=1,J150*K150,"")</f>
        <v>0</v>
      </c>
      <c r="M150" s="74">
        <f>VLOOKUP($B150,'Standards Crosswalk'!$A:$H,3,FALSE)</f>
        <v>0</v>
      </c>
      <c r="N150" s="74">
        <f>VLOOKUP($B150,'Standards Crosswalk'!$A:$H,4,FALSE)</f>
        <v>0</v>
      </c>
      <c r="O150" s="74">
        <f>VLOOKUP($B150,'Standards Crosswalk'!$A:$H,5,FALSE)</f>
        <v>0</v>
      </c>
      <c r="P150" s="74">
        <f>VLOOKUP($B150,'Standards Crosswalk'!$A:$H,6,FALSE)</f>
        <v>0</v>
      </c>
      <c r="Q150" s="74" t="str">
        <f>VLOOKUP($B150,'Standards Crosswalk'!$A:$H,7,FALSE)</f>
        <v>3.6.2</v>
      </c>
      <c r="R150" s="74" t="str">
        <f>VLOOKUP($B150,'Standards Crosswalk'!$A:$H,8,FALSE)</f>
        <v>AC-5, CP-4, CP-10; NIST SP 800-34</v>
      </c>
      <c r="S150" s="74">
        <f>VLOOKUP($B150,'Standards Crosswalk'!$A:$I,9,FALSE)</f>
        <v>12.8</v>
      </c>
    </row>
    <row r="151" spans="1:19" ht="72" thickBot="1" x14ac:dyDescent="0.25">
      <c r="A151" s="73">
        <f t="shared" si="5"/>
        <v>149</v>
      </c>
      <c r="B151" s="79" t="s">
        <v>323</v>
      </c>
      <c r="C151" s="80" t="str">
        <f>VLOOKUP(B151,HECVAT!A:E,2,FALSE)</f>
        <v>Are you utilizing a web application firewall (WAF)?</v>
      </c>
      <c r="D151" s="73">
        <f>VLOOKUP(B151,HECVAT!A:E,4,FALSE)</f>
        <v>0</v>
      </c>
      <c r="E151" s="81" t="b">
        <f>IF(Table1[[#This Row],[Column11]]&gt;20,TRUE,FALSE)</f>
        <v>1</v>
      </c>
      <c r="F151" s="81" t="s">
        <v>2055</v>
      </c>
      <c r="G151" s="82" t="s">
        <v>17</v>
      </c>
      <c r="H151" s="83">
        <v>1</v>
      </c>
      <c r="I151" s="73">
        <f>VLOOKUP(B151,HECVAT!A:E,3,FALSE)</f>
        <v>0</v>
      </c>
      <c r="J151" s="73">
        <f>IF(Table1[[#This Row],[Column7]]=Table1[[#This Row],[Column9]],1,0)</f>
        <v>0</v>
      </c>
      <c r="K151" s="73">
        <v>25</v>
      </c>
      <c r="L151" s="73">
        <f>IF(Table1[[#This Row],[Column8]]=1,J151*K151,"")</f>
        <v>0</v>
      </c>
      <c r="M151" s="74" t="str">
        <f>VLOOKUP($B151,'Standards Crosswalk'!$A:$H,3,FALSE)</f>
        <v>CSC 9</v>
      </c>
      <c r="N151" s="74">
        <f>VLOOKUP($B151,'Standards Crosswalk'!$A:$H,4,FALSE)</f>
        <v>0</v>
      </c>
      <c r="O151" s="74" t="str">
        <f>VLOOKUP($B151,'Standards Crosswalk'!$A:$H,5,FALSE)</f>
        <v>13.1.1</v>
      </c>
      <c r="P151" s="74" t="str">
        <f>VLOOKUP($B151,'Standards Crosswalk'!$A:$H,6,FALSE)</f>
        <v>PR.DS-5</v>
      </c>
      <c r="Q151" s="74">
        <f>VLOOKUP($B151,'Standards Crosswalk'!$A:$H,7,FALSE)</f>
        <v>0</v>
      </c>
      <c r="R151" s="74">
        <f>VLOOKUP($B151,'Standards Crosswalk'!$A:$H,8,FALSE)</f>
        <v>0</v>
      </c>
      <c r="S151" s="74">
        <f>VLOOKUP($B151,'Standards Crosswalk'!$A:$I,9,FALSE)</f>
        <v>1.1000000000000001</v>
      </c>
    </row>
    <row r="152" spans="1:19" ht="72" thickBot="1" x14ac:dyDescent="0.25">
      <c r="A152" s="73">
        <f t="shared" si="5"/>
        <v>150</v>
      </c>
      <c r="B152" s="79" t="s">
        <v>324</v>
      </c>
      <c r="C152" s="80" t="str">
        <f>VLOOKUP(B152,HECVAT!A:E,2,FALSE)</f>
        <v>Are you utilizing a stateful packet inspection (SPI) firewall?</v>
      </c>
      <c r="D152" s="73">
        <f>VLOOKUP(B152,HECVAT!A:E,4,FALSE)</f>
        <v>0</v>
      </c>
      <c r="E152" s="81" t="b">
        <f>IF(Table1[[#This Row],[Column11]]&gt;20,TRUE,FALSE)</f>
        <v>1</v>
      </c>
      <c r="F152" s="81" t="s">
        <v>2055</v>
      </c>
      <c r="G152" s="82" t="s">
        <v>17</v>
      </c>
      <c r="H152" s="83">
        <v>1</v>
      </c>
      <c r="I152" s="73">
        <f>VLOOKUP(B152,HECVAT!A:E,3,FALSE)</f>
        <v>0</v>
      </c>
      <c r="J152" s="73">
        <f>IF(Table1[[#This Row],[Column7]]=Table1[[#This Row],[Column9]],1,0)</f>
        <v>0</v>
      </c>
      <c r="K152" s="73">
        <v>25</v>
      </c>
      <c r="L152" s="73">
        <f>IF(Table1[[#This Row],[Column8]]=1,J152*K152,"")</f>
        <v>0</v>
      </c>
      <c r="M152" s="74" t="str">
        <f>VLOOKUP($B152,'Standards Crosswalk'!$A:$H,3,FALSE)</f>
        <v>CSC 9</v>
      </c>
      <c r="N152" s="74">
        <f>VLOOKUP($B152,'Standards Crosswalk'!$A:$H,4,FALSE)</f>
        <v>0</v>
      </c>
      <c r="O152" s="74" t="str">
        <f>VLOOKUP($B152,'Standards Crosswalk'!$A:$H,5,FALSE)</f>
        <v>13.1.1</v>
      </c>
      <c r="P152" s="74" t="str">
        <f>VLOOKUP($B152,'Standards Crosswalk'!$A:$H,6,FALSE)</f>
        <v>PR.DS-5</v>
      </c>
      <c r="Q152" s="74">
        <f>VLOOKUP($B152,'Standards Crosswalk'!$A:$H,7,FALSE)</f>
        <v>0</v>
      </c>
      <c r="R152" s="74">
        <f>VLOOKUP($B152,'Standards Crosswalk'!$A:$H,8,FALSE)</f>
        <v>0</v>
      </c>
      <c r="S152" s="74">
        <f>VLOOKUP($B152,'Standards Crosswalk'!$A:$I,9,FALSE)</f>
        <v>1.1000000000000001</v>
      </c>
    </row>
    <row r="153" spans="1:19" ht="72" thickBot="1" x14ac:dyDescent="0.25">
      <c r="A153" s="73">
        <f t="shared" si="5"/>
        <v>151</v>
      </c>
      <c r="B153" s="79" t="s">
        <v>325</v>
      </c>
      <c r="C153" s="80" t="str">
        <f>VLOOKUP(B153,HECVAT!A:E,2,FALSE)</f>
        <v>State and describe who has the authority to change firewall rules?</v>
      </c>
      <c r="D153" s="73">
        <f>VLOOKUP(B153,HECVAT!A:E,4,FALSE)</f>
        <v>0</v>
      </c>
      <c r="E153" s="81" t="b">
        <f>IF(Table1[[#This Row],[Column11]]&gt;20,TRUE,FALSE)</f>
        <v>0</v>
      </c>
      <c r="F153" s="81" t="s">
        <v>2055</v>
      </c>
      <c r="G153" s="82" t="s">
        <v>17</v>
      </c>
      <c r="H153" s="83">
        <v>1</v>
      </c>
      <c r="I153" s="73">
        <f>VLOOKUP(B153,HECVAT!A:E,3,FALSE)</f>
        <v>0</v>
      </c>
      <c r="J153" s="73">
        <f>IF(VLOOKUP(Table1[[#This Row],[Column2]],'Analyst Report'!$A$41:$G$88,7,FALSE)="Yes",1,0)</f>
        <v>0</v>
      </c>
      <c r="K153" s="73">
        <f>IF(Table1[[#This Row],[Column8]]=1,20,"")</f>
        <v>20</v>
      </c>
      <c r="L153" s="73">
        <f>IF(Table1[[#This Row],[Column8]]=1,J153*K153,"")</f>
        <v>0</v>
      </c>
      <c r="M153" s="74" t="str">
        <f>VLOOKUP($B153,'Standards Crosswalk'!$A:$H,3,FALSE)</f>
        <v>CSC 9</v>
      </c>
      <c r="N153" s="74">
        <f>VLOOKUP($B153,'Standards Crosswalk'!$A:$H,4,FALSE)</f>
        <v>0</v>
      </c>
      <c r="O153" s="74" t="str">
        <f>VLOOKUP($B153,'Standards Crosswalk'!$A:$H,5,FALSE)</f>
        <v>13</v>
      </c>
      <c r="P153" s="74" t="str">
        <f>VLOOKUP($B153,'Standards Crosswalk'!$A:$H,6,FALSE)</f>
        <v>PR.AC-5</v>
      </c>
      <c r="Q153" s="74">
        <f>VLOOKUP($B153,'Standards Crosswalk'!$A:$H,7,FALSE)</f>
        <v>0</v>
      </c>
      <c r="R153" s="74">
        <f>VLOOKUP($B153,'Standards Crosswalk'!$A:$H,8,FALSE)</f>
        <v>0</v>
      </c>
      <c r="S153" s="74">
        <f>VLOOKUP($B153,'Standards Crosswalk'!$A:$I,9,FALSE)</f>
        <v>1.1000000000000001</v>
      </c>
    </row>
    <row r="154" spans="1:19" ht="72" thickBot="1" x14ac:dyDescent="0.25">
      <c r="A154" s="73">
        <f t="shared" si="5"/>
        <v>152</v>
      </c>
      <c r="B154" s="79" t="s">
        <v>326</v>
      </c>
      <c r="C154" s="80" t="str">
        <f>VLOOKUP(B154,HECVAT!A:E,2,FALSE)</f>
        <v>Do you have a documented policy for firewall change requests?</v>
      </c>
      <c r="D154" s="73">
        <f>VLOOKUP(B154,HECVAT!A:E,4,FALSE)</f>
        <v>0</v>
      </c>
      <c r="E154" s="81" t="b">
        <f>IF(Table1[[#This Row],[Column11]]&gt;20,TRUE,FALSE)</f>
        <v>1</v>
      </c>
      <c r="F154" s="81" t="s">
        <v>2055</v>
      </c>
      <c r="G154" s="82" t="s">
        <v>17</v>
      </c>
      <c r="H154" s="83">
        <v>1</v>
      </c>
      <c r="I154" s="73">
        <f>VLOOKUP(B154,HECVAT!A:E,3,FALSE)</f>
        <v>0</v>
      </c>
      <c r="J154" s="73">
        <f>IF(Table1[[#This Row],[Column7]]=Table1[[#This Row],[Column9]],1,0)</f>
        <v>0</v>
      </c>
      <c r="K154" s="73">
        <v>25</v>
      </c>
      <c r="L154" s="73">
        <f>IF(Table1[[#This Row],[Column8]]=1,J154*K154,"")</f>
        <v>0</v>
      </c>
      <c r="M154" s="74" t="str">
        <f>VLOOKUP($B154,'Standards Crosswalk'!$A:$H,3,FALSE)</f>
        <v>CSC 9</v>
      </c>
      <c r="N154" s="74">
        <f>VLOOKUP($B154,'Standards Crosswalk'!$A:$H,4,FALSE)</f>
        <v>0</v>
      </c>
      <c r="O154" s="74" t="str">
        <f>VLOOKUP($B154,'Standards Crosswalk'!$A:$H,5,FALSE)</f>
        <v>12.1.2</v>
      </c>
      <c r="P154" s="74" t="str">
        <f>VLOOKUP($B154,'Standards Crosswalk'!$A:$H,6,FALSE)</f>
        <v>PR.AC-5</v>
      </c>
      <c r="Q154" s="74">
        <f>VLOOKUP($B154,'Standards Crosswalk'!$A:$H,7,FALSE)</f>
        <v>0</v>
      </c>
      <c r="R154" s="74">
        <f>VLOOKUP($B154,'Standards Crosswalk'!$A:$H,8,FALSE)</f>
        <v>0</v>
      </c>
      <c r="S154" s="74">
        <f>VLOOKUP($B154,'Standards Crosswalk'!$A:$I,9,FALSE)</f>
        <v>1.1000000000000001</v>
      </c>
    </row>
    <row r="155" spans="1:19" ht="72" thickBot="1" x14ac:dyDescent="0.25">
      <c r="A155" s="73">
        <f t="shared" si="5"/>
        <v>153</v>
      </c>
      <c r="B155" s="79" t="s">
        <v>327</v>
      </c>
      <c r="C155" s="80" t="str">
        <f>VLOOKUP(B155,HECVAT!A:E,2,FALSE)</f>
        <v>Have you implemented an Intrusion Detection System (network-based)?</v>
      </c>
      <c r="D155" s="73">
        <f>VLOOKUP(B155,HECVAT!A:E,4,FALSE)</f>
        <v>0</v>
      </c>
      <c r="E155" s="81" t="b">
        <f>IF(Table1[[#This Row],[Column11]]&gt;20,TRUE,FALSE)</f>
        <v>1</v>
      </c>
      <c r="F155" s="81" t="s">
        <v>2055</v>
      </c>
      <c r="G155" s="82" t="s">
        <v>17</v>
      </c>
      <c r="H155" s="83">
        <v>1</v>
      </c>
      <c r="I155" s="73">
        <f>VLOOKUP(B155,HECVAT!A:E,3,FALSE)</f>
        <v>0</v>
      </c>
      <c r="J155" s="73">
        <f>IF(Table1[[#This Row],[Column7]]=Table1[[#This Row],[Column9]],1,0)</f>
        <v>0</v>
      </c>
      <c r="K155" s="73">
        <v>25</v>
      </c>
      <c r="L155" s="73">
        <f>IF(Table1[[#This Row],[Column8]]=1,J155*K155,"")</f>
        <v>0</v>
      </c>
      <c r="M155" s="74" t="str">
        <f>VLOOKUP($B155,'Standards Crosswalk'!$A:$H,3,FALSE)</f>
        <v>CSC 19</v>
      </c>
      <c r="N155" s="74">
        <f>VLOOKUP($B155,'Standards Crosswalk'!$A:$H,4,FALSE)</f>
        <v>0</v>
      </c>
      <c r="O155" s="74" t="str">
        <f>VLOOKUP($B155,'Standards Crosswalk'!$A:$H,5,FALSE)</f>
        <v>13.1.2</v>
      </c>
      <c r="P155" s="74" t="str">
        <f>VLOOKUP($B155,'Standards Crosswalk'!$A:$H,6,FALSE)</f>
        <v>DE.CM-1</v>
      </c>
      <c r="Q155" s="74" t="str">
        <f>VLOOKUP($B155,'Standards Crosswalk'!$A:$H,7,FALSE)</f>
        <v>3.6.1, 3.14.6, 3.14.7</v>
      </c>
      <c r="R155" s="74" t="str">
        <f>VLOOKUP($B155,'Standards Crosswalk'!$A:$H,8,FALSE)</f>
        <v>IR-2, IR-4, IR-5</v>
      </c>
      <c r="S155" s="74">
        <f>VLOOKUP($B155,'Standards Crosswalk'!$A:$I,9,FALSE)</f>
        <v>11.4</v>
      </c>
    </row>
    <row r="156" spans="1:19" ht="72" thickBot="1" x14ac:dyDescent="0.25">
      <c r="A156" s="73">
        <f t="shared" si="5"/>
        <v>154</v>
      </c>
      <c r="B156" s="79" t="s">
        <v>328</v>
      </c>
      <c r="C156" s="80" t="str">
        <f>VLOOKUP(B156,HECVAT!A:E,2,FALSE)</f>
        <v>Have you implemented an Intrusion Prevention System (network-based)?</v>
      </c>
      <c r="D156" s="73">
        <f>VLOOKUP(B156,HECVAT!A:E,4,FALSE)</f>
        <v>0</v>
      </c>
      <c r="E156" s="81" t="b">
        <f>IF(Table1[[#This Row],[Column11]]&gt;20,TRUE,FALSE)</f>
        <v>0</v>
      </c>
      <c r="F156" s="81" t="s">
        <v>2055</v>
      </c>
      <c r="G156" s="82" t="s">
        <v>17</v>
      </c>
      <c r="H156" s="83">
        <v>1</v>
      </c>
      <c r="I156" s="73">
        <f>VLOOKUP(B156,HECVAT!A:E,3,FALSE)</f>
        <v>0</v>
      </c>
      <c r="J156" s="73">
        <f>IF(Table1[[#This Row],[Column7]]=Table1[[#This Row],[Column9]],1,0)</f>
        <v>0</v>
      </c>
      <c r="K156" s="73">
        <f>IF(Table1[[#This Row],[Column8]]=1,20,"")</f>
        <v>20</v>
      </c>
      <c r="L156" s="73">
        <f>IF(Table1[[#This Row],[Column8]]=1,J156*K156,"")</f>
        <v>0</v>
      </c>
      <c r="M156" s="74" t="str">
        <f>VLOOKUP($B156,'Standards Crosswalk'!$A:$H,3,FALSE)</f>
        <v>CSC 19</v>
      </c>
      <c r="N156" s="74">
        <f>VLOOKUP($B156,'Standards Crosswalk'!$A:$H,4,FALSE)</f>
        <v>0</v>
      </c>
      <c r="O156" s="74" t="str">
        <f>VLOOKUP($B156,'Standards Crosswalk'!$A:$H,5,FALSE)</f>
        <v>13.1.2</v>
      </c>
      <c r="P156" s="74" t="str">
        <f>VLOOKUP($B156,'Standards Crosswalk'!$A:$H,6,FALSE)</f>
        <v>DE.CM-1</v>
      </c>
      <c r="Q156" s="74" t="str">
        <f>VLOOKUP($B156,'Standards Crosswalk'!$A:$H,7,FALSE)</f>
        <v>3.6.1, 3.14.6, 3.14.7</v>
      </c>
      <c r="R156" s="74" t="str">
        <f>VLOOKUP($B156,'Standards Crosswalk'!$A:$H,8,FALSE)</f>
        <v>IR-2, IR-4, IR-5</v>
      </c>
      <c r="S156" s="74">
        <f>VLOOKUP($B156,'Standards Crosswalk'!$A:$I,9,FALSE)</f>
        <v>11.4</v>
      </c>
    </row>
    <row r="157" spans="1:19" ht="72" thickBot="1" x14ac:dyDescent="0.25">
      <c r="A157" s="73">
        <f t="shared" si="5"/>
        <v>155</v>
      </c>
      <c r="B157" s="79" t="s">
        <v>329</v>
      </c>
      <c r="C157" s="80" t="str">
        <f>VLOOKUP(B157,HECVAT!A:E,2,FALSE)</f>
        <v>Do you employ host-based intrusion detection?</v>
      </c>
      <c r="D157" s="73">
        <f>VLOOKUP(B157,HECVAT!A:E,4,FALSE)</f>
        <v>0</v>
      </c>
      <c r="E157" s="81" t="b">
        <f>IF(Table1[[#This Row],[Column11]]&gt;20,TRUE,FALSE)</f>
        <v>1</v>
      </c>
      <c r="F157" s="81" t="s">
        <v>2055</v>
      </c>
      <c r="G157" s="82" t="s">
        <v>17</v>
      </c>
      <c r="H157" s="83">
        <v>1</v>
      </c>
      <c r="I157" s="73">
        <f>VLOOKUP(B157,HECVAT!A:E,3,FALSE)</f>
        <v>0</v>
      </c>
      <c r="J157" s="73">
        <f>IF(Table1[[#This Row],[Column7]]=Table1[[#This Row],[Column9]],1,0)</f>
        <v>0</v>
      </c>
      <c r="K157" s="73">
        <v>25</v>
      </c>
      <c r="L157" s="73">
        <f>IF(Table1[[#This Row],[Column8]]=1,J157*K157,"")</f>
        <v>0</v>
      </c>
      <c r="M157" s="74" t="str">
        <f>VLOOKUP($B157,'Standards Crosswalk'!$A:$H,3,FALSE)</f>
        <v>CSC 19</v>
      </c>
      <c r="N157" s="74">
        <f>VLOOKUP($B157,'Standards Crosswalk'!$A:$H,4,FALSE)</f>
        <v>0</v>
      </c>
      <c r="O157" s="74" t="str">
        <f>VLOOKUP($B157,'Standards Crosswalk'!$A:$H,5,FALSE)</f>
        <v>13.1.2</v>
      </c>
      <c r="P157" s="74" t="str">
        <f>VLOOKUP($B157,'Standards Crosswalk'!$A:$H,6,FALSE)</f>
        <v>DE.CM-1</v>
      </c>
      <c r="Q157" s="74" t="str">
        <f>VLOOKUP($B157,'Standards Crosswalk'!$A:$H,7,FALSE)</f>
        <v>3.6.1, 3.14.6, 3.14.7</v>
      </c>
      <c r="R157" s="74" t="str">
        <f>VLOOKUP($B157,'Standards Crosswalk'!$A:$H,8,FALSE)</f>
        <v>IR-2, IR-4, IR-5</v>
      </c>
      <c r="S157" s="74">
        <f>VLOOKUP($B157,'Standards Crosswalk'!$A:$I,9,FALSE)</f>
        <v>11.4</v>
      </c>
    </row>
    <row r="158" spans="1:19" ht="72" thickBot="1" x14ac:dyDescent="0.25">
      <c r="A158" s="73">
        <f t="shared" si="5"/>
        <v>156</v>
      </c>
      <c r="B158" s="79" t="s">
        <v>330</v>
      </c>
      <c r="C158" s="80" t="str">
        <f>VLOOKUP(B158,HECVAT!A:E,2,FALSE)</f>
        <v>Do you employ host-based intrusion prevention?</v>
      </c>
      <c r="D158" s="73">
        <f>VLOOKUP(B158,HECVAT!A:E,4,FALSE)</f>
        <v>0</v>
      </c>
      <c r="E158" s="81" t="b">
        <f>IF(Table1[[#This Row],[Column11]]&gt;20,TRUE,FALSE)</f>
        <v>0</v>
      </c>
      <c r="F158" s="81" t="s">
        <v>2055</v>
      </c>
      <c r="G158" s="82" t="s">
        <v>17</v>
      </c>
      <c r="H158" s="83">
        <v>1</v>
      </c>
      <c r="I158" s="73">
        <f>VLOOKUP(B158,HECVAT!A:E,3,FALSE)</f>
        <v>0</v>
      </c>
      <c r="J158" s="73">
        <f>IF(Table1[[#This Row],[Column7]]=Table1[[#This Row],[Column9]],1,0)</f>
        <v>0</v>
      </c>
      <c r="K158" s="73">
        <f>IF(Table1[[#This Row],[Column8]]=1,20,"")</f>
        <v>20</v>
      </c>
      <c r="L158" s="73">
        <f>IF(Table1[[#This Row],[Column8]]=1,J158*K158,"")</f>
        <v>0</v>
      </c>
      <c r="M158" s="74" t="str">
        <f>VLOOKUP($B158,'Standards Crosswalk'!$A:$H,3,FALSE)</f>
        <v>CSC 19</v>
      </c>
      <c r="N158" s="74">
        <f>VLOOKUP($B158,'Standards Crosswalk'!$A:$H,4,FALSE)</f>
        <v>0</v>
      </c>
      <c r="O158" s="74" t="str">
        <f>VLOOKUP($B158,'Standards Crosswalk'!$A:$H,5,FALSE)</f>
        <v>13.1.2</v>
      </c>
      <c r="P158" s="74" t="str">
        <f>VLOOKUP($B158,'Standards Crosswalk'!$A:$H,6,FALSE)</f>
        <v>DE.CM-1</v>
      </c>
      <c r="Q158" s="74" t="str">
        <f>VLOOKUP($B158,'Standards Crosswalk'!$A:$H,7,FALSE)</f>
        <v>3.6.1, 3.14.6, 3.14.7</v>
      </c>
      <c r="R158" s="74" t="str">
        <f>VLOOKUP($B158,'Standards Crosswalk'!$A:$H,8,FALSE)</f>
        <v>IR-2, IR-4, IR-5</v>
      </c>
      <c r="S158" s="74">
        <f>VLOOKUP($B158,'Standards Crosswalk'!$A:$I,9,FALSE)</f>
        <v>11.4</v>
      </c>
    </row>
    <row r="159" spans="1:19" ht="72" thickBot="1" x14ac:dyDescent="0.25">
      <c r="A159" s="73">
        <f t="shared" si="5"/>
        <v>157</v>
      </c>
      <c r="B159" s="79" t="s">
        <v>331</v>
      </c>
      <c r="C159" s="80" t="str">
        <f>VLOOKUP(B159,HECVAT!A:E,2,FALSE)</f>
        <v>Are you employing any next-generation persistent threat (NGPT) monitoring?</v>
      </c>
      <c r="D159" s="73">
        <f>VLOOKUP(B159,HECVAT!A:E,4,FALSE)</f>
        <v>0</v>
      </c>
      <c r="E159" s="81" t="b">
        <f>IF(Table1[[#This Row],[Column11]]&gt;20,TRUE,FALSE)</f>
        <v>0</v>
      </c>
      <c r="F159" s="81" t="s">
        <v>2055</v>
      </c>
      <c r="G159" s="82" t="s">
        <v>17</v>
      </c>
      <c r="H159" s="83">
        <v>1</v>
      </c>
      <c r="I159" s="73">
        <f>VLOOKUP(B159,HECVAT!A:E,3,FALSE)</f>
        <v>0</v>
      </c>
      <c r="J159" s="73">
        <f>IF(Table1[[#This Row],[Column7]]=Table1[[#This Row],[Column9]],1,0)</f>
        <v>0</v>
      </c>
      <c r="K159" s="73">
        <f>IF(Table1[[#This Row],[Column8]]=1,20,"")</f>
        <v>20</v>
      </c>
      <c r="L159" s="73">
        <f>IF(Table1[[#This Row],[Column8]]=1,J159*K159,"")</f>
        <v>0</v>
      </c>
      <c r="M159" s="74" t="str">
        <f>VLOOKUP($B159,'Standards Crosswalk'!$A:$H,3,FALSE)</f>
        <v>CSC 19</v>
      </c>
      <c r="N159" s="74">
        <f>VLOOKUP($B159,'Standards Crosswalk'!$A:$H,4,FALSE)</f>
        <v>0</v>
      </c>
      <c r="O159" s="74" t="str">
        <f>VLOOKUP($B159,'Standards Crosswalk'!$A:$H,5,FALSE)</f>
        <v>12.4.1</v>
      </c>
      <c r="P159" s="74">
        <f>VLOOKUP($B159,'Standards Crosswalk'!$A:$H,6,FALSE)</f>
        <v>0</v>
      </c>
      <c r="Q159" s="74" t="str">
        <f>VLOOKUP($B159,'Standards Crosswalk'!$A:$H,7,FALSE)</f>
        <v>3.6.1, 3.14.6, 3.14.7</v>
      </c>
      <c r="R159" s="74" t="str">
        <f>VLOOKUP($B159,'Standards Crosswalk'!$A:$H,8,FALSE)</f>
        <v>IR-2, IR-4, IR-5</v>
      </c>
      <c r="S159" s="74">
        <f>VLOOKUP($B159,'Standards Crosswalk'!$A:$I,9,FALSE)</f>
        <v>11.5</v>
      </c>
    </row>
    <row r="160" spans="1:19" ht="72" thickBot="1" x14ac:dyDescent="0.25">
      <c r="A160" s="73">
        <f t="shared" si="5"/>
        <v>158</v>
      </c>
      <c r="B160" s="79" t="s">
        <v>332</v>
      </c>
      <c r="C160" s="80" t="str">
        <f>VLOOKUP(B160,HECVAT!A:E,2,FALSE)</f>
        <v>Do you monitor for intrusions on a 24x7x365 basis?</v>
      </c>
      <c r="D160" s="73">
        <f>VLOOKUP(B160,HECVAT!A:E,4,FALSE)</f>
        <v>0</v>
      </c>
      <c r="E160" s="81" t="b">
        <f>IF(Table1[[#This Row],[Column11]]&gt;20,TRUE,FALSE)</f>
        <v>0</v>
      </c>
      <c r="F160" s="81" t="s">
        <v>2055</v>
      </c>
      <c r="G160" s="82" t="s">
        <v>17</v>
      </c>
      <c r="H160" s="83">
        <v>1</v>
      </c>
      <c r="I160" s="73">
        <f>VLOOKUP(B160,HECVAT!A:E,3,FALSE)</f>
        <v>0</v>
      </c>
      <c r="J160" s="73">
        <f>IF(Table1[[#This Row],[Column7]]=Table1[[#This Row],[Column9]],1,0)</f>
        <v>0</v>
      </c>
      <c r="K160" s="73">
        <f>IF(Table1[[#This Row],[Column8]]=1,15,"")</f>
        <v>15</v>
      </c>
      <c r="L160" s="73">
        <f>IF(Table1[[#This Row],[Column8]]=1,J160*K160,"")</f>
        <v>0</v>
      </c>
      <c r="M160" s="74" t="str">
        <f>VLOOKUP($B160,'Standards Crosswalk'!$A:$H,3,FALSE)</f>
        <v>CSC 19</v>
      </c>
      <c r="N160" s="74">
        <f>VLOOKUP($B160,'Standards Crosswalk'!$A:$H,4,FALSE)</f>
        <v>0</v>
      </c>
      <c r="O160" s="74" t="str">
        <f>VLOOKUP($B160,'Standards Crosswalk'!$A:$H,5,FALSE)</f>
        <v>12.4.1</v>
      </c>
      <c r="P160" s="74" t="str">
        <f>VLOOKUP($B160,'Standards Crosswalk'!$A:$H,6,FALSE)</f>
        <v>DE.CM-1, DE.CM-2, DE.CM-7</v>
      </c>
      <c r="Q160" s="74" t="str">
        <f>VLOOKUP($B160,'Standards Crosswalk'!$A:$H,7,FALSE)</f>
        <v>3.6.1, 3.14.6, 3.14.7</v>
      </c>
      <c r="R160" s="74" t="str">
        <f>VLOOKUP($B160,'Standards Crosswalk'!$A:$H,8,FALSE)</f>
        <v>IR-2, IR-4, IR-5</v>
      </c>
      <c r="S160" s="74">
        <f>VLOOKUP($B160,'Standards Crosswalk'!$A:$I,9,FALSE)</f>
        <v>11.4</v>
      </c>
    </row>
    <row r="161" spans="1:19" ht="72" thickBot="1" x14ac:dyDescent="0.25">
      <c r="A161" s="73">
        <f t="shared" si="5"/>
        <v>159</v>
      </c>
      <c r="B161" s="97" t="s">
        <v>333</v>
      </c>
      <c r="C161" s="80" t="str">
        <f>VLOOKUP(B161,HECVAT!A:E,2,FALSE)</f>
        <v>Is intrusion monitoring performed internally or by a third-party service?</v>
      </c>
      <c r="D161" s="73">
        <f>VLOOKUP(B161,HECVAT!A:E,4,FALSE)</f>
        <v>0</v>
      </c>
      <c r="E161" s="81" t="b">
        <f>IF(Table1[[#This Row],[Column11]]&gt;20,TRUE,FALSE)</f>
        <v>1</v>
      </c>
      <c r="F161" s="81" t="s">
        <v>2055</v>
      </c>
      <c r="G161" s="82" t="s">
        <v>17</v>
      </c>
      <c r="H161" s="83">
        <f>IF(I160="Yes",1,0)</f>
        <v>0</v>
      </c>
      <c r="I161" s="73">
        <f>VLOOKUP(B161,HECVAT!A:E,3,FALSE)</f>
        <v>0</v>
      </c>
      <c r="J161" s="73">
        <f>IF(VLOOKUP(Table1[[#This Row],[Column2]],'Analyst Report'!$A$41:$G$88,7,FALSE)="Yes",1,0)</f>
        <v>0</v>
      </c>
      <c r="K161" s="73" t="str">
        <f>IF(Table1[[#This Row],[Column8]]=1,20,"")</f>
        <v/>
      </c>
      <c r="L161" s="73" t="str">
        <f>IF(Table1[[#This Row],[Column8]]=1,J161*K161,"")</f>
        <v/>
      </c>
      <c r="M161" s="74" t="str">
        <f>VLOOKUP($B161,'Standards Crosswalk'!$A:$H,3,FALSE)</f>
        <v>CSC 6, CSC 19</v>
      </c>
      <c r="N161" s="74">
        <f>VLOOKUP($B161,'Standards Crosswalk'!$A:$H,4,FALSE)</f>
        <v>0</v>
      </c>
      <c r="O161" s="74" t="str">
        <f>VLOOKUP($B161,'Standards Crosswalk'!$A:$H,5,FALSE)</f>
        <v>12.4.1</v>
      </c>
      <c r="P161" s="74" t="str">
        <f>VLOOKUP($B161,'Standards Crosswalk'!$A:$H,6,FALSE)</f>
        <v>DE.CM-1, DE.CM-2, DE.CM-7</v>
      </c>
      <c r="Q161" s="74" t="str">
        <f>VLOOKUP($B161,'Standards Crosswalk'!$A:$H,7,FALSE)</f>
        <v>3.6.1, 3.14.6, 3.14.7</v>
      </c>
      <c r="R161" s="74" t="str">
        <f>VLOOKUP($B161,'Standards Crosswalk'!$A:$H,8,FALSE)</f>
        <v>IR-2, IR-4, IR-5</v>
      </c>
      <c r="S161" s="74" t="str">
        <f>VLOOKUP($B161,'Standards Crosswalk'!$A:$I,9,FALSE)</f>
        <v>11.4, 12.8</v>
      </c>
    </row>
    <row r="162" spans="1:19" ht="72" thickBot="1" x14ac:dyDescent="0.25">
      <c r="A162" s="73">
        <f t="shared" si="5"/>
        <v>160</v>
      </c>
      <c r="B162" s="79" t="s">
        <v>334</v>
      </c>
      <c r="C162" s="80" t="str">
        <f>VLOOKUP(B162,HECVAT!A:E,2,FALSE)</f>
        <v>Are audit logs available for all changes to the network, firewall, IDS, and IPS systems?</v>
      </c>
      <c r="D162" s="73">
        <f>VLOOKUP(B162,HECVAT!A:E,4,FALSE)</f>
        <v>0</v>
      </c>
      <c r="E162" s="81" t="b">
        <f>IF(Table1[[#This Row],[Column11]]&gt;20,TRUE,FALSE)</f>
        <v>1</v>
      </c>
      <c r="F162" s="81" t="s">
        <v>2055</v>
      </c>
      <c r="G162" s="82" t="s">
        <v>17</v>
      </c>
      <c r="H162" s="83">
        <v>1</v>
      </c>
      <c r="I162" s="73">
        <f>VLOOKUP(B162,HECVAT!A:E,3,FALSE)</f>
        <v>0</v>
      </c>
      <c r="J162" s="73">
        <f>IF(Table1[[#This Row],[Column7]]=Table1[[#This Row],[Column9]],1,0)</f>
        <v>0</v>
      </c>
      <c r="K162" s="73">
        <f>IF(Table1[[#This Row],[Column8]]=1,25,"")</f>
        <v>25</v>
      </c>
      <c r="L162" s="73">
        <f>IF(Table1[[#This Row],[Column8]]=1,J162*K162,"")</f>
        <v>0</v>
      </c>
      <c r="M162" s="74" t="str">
        <f>VLOOKUP($B162,'Standards Crosswalk'!$A:$H,3,FALSE)</f>
        <v>CSC 6</v>
      </c>
      <c r="N162" s="74">
        <f>VLOOKUP($B162,'Standards Crosswalk'!$A:$H,4,FALSE)</f>
        <v>0</v>
      </c>
      <c r="O162" s="74" t="str">
        <f>VLOOKUP($B162,'Standards Crosswalk'!$A:$H,5,FALSE)</f>
        <v>12.4.1</v>
      </c>
      <c r="P162" s="74" t="str">
        <f>VLOOKUP($B162,'Standards Crosswalk'!$A:$H,6,FALSE)</f>
        <v>DE.AE-1, DE.CM-1, PR.PT-4</v>
      </c>
      <c r="Q162" s="74" t="str">
        <f>VLOOKUP($B162,'Standards Crosswalk'!$A:$H,7,FALSE)</f>
        <v>3.3.1</v>
      </c>
      <c r="R162" s="74" t="str">
        <f>VLOOKUP($B162,'Standards Crosswalk'!$A:$H,8,FALSE)</f>
        <v>AU-2</v>
      </c>
      <c r="S162" s="74" t="str">
        <f>VLOOKUP($B162,'Standards Crosswalk'!$A:$I,9,FALSE)</f>
        <v>1.1, 10.8, 10.6, 10.3, 10.2, 11.4</v>
      </c>
    </row>
    <row r="163" spans="1:19" ht="43.5" thickBot="1" x14ac:dyDescent="0.25">
      <c r="A163" s="73">
        <f t="shared" si="5"/>
        <v>161</v>
      </c>
      <c r="B163" s="79" t="s">
        <v>335</v>
      </c>
      <c r="C163" s="80" t="str">
        <f>VLOOKUP(B163,HECVAT!A:E,2,FALSE)</f>
        <v>On which mobile operating systems is your software or service supported?</v>
      </c>
      <c r="D163" s="73">
        <f>VLOOKUP(B163,HECVAT!A:E,4,FALSE)</f>
        <v>0</v>
      </c>
      <c r="E163" s="81" t="b">
        <f>IF(Table1[[#This Row],[Column11]]&gt;20,TRUE,FALSE)</f>
        <v>0</v>
      </c>
      <c r="F163" s="81" t="s">
        <v>2056</v>
      </c>
      <c r="G163" s="82" t="s">
        <v>17</v>
      </c>
      <c r="H163" s="83">
        <v>1</v>
      </c>
      <c r="I163" s="73">
        <f>VLOOKUP(B163,HECVAT!A:E,3,FALSE)</f>
        <v>0</v>
      </c>
      <c r="J163" s="73">
        <f>IF(VLOOKUP(Table1[[#This Row],[Column2]],'Analyst Report'!$A$41:$G$88,7,FALSE)="Yes",1,0)</f>
        <v>0</v>
      </c>
      <c r="K163" s="73">
        <f>IF(Table1[[#This Row],[Column8]]=1,15,"")</f>
        <v>15</v>
      </c>
      <c r="L163" s="73">
        <f>IF(Table1[[#This Row],[Column8]]=1,J163*K163,"")</f>
        <v>0</v>
      </c>
      <c r="M163" s="74" t="str">
        <f>VLOOKUP($B163,'Standards Crosswalk'!$A:$H,3,FALSE)</f>
        <v>CSC 18</v>
      </c>
      <c r="N163" s="74">
        <f>VLOOKUP($B163,'Standards Crosswalk'!$A:$H,4,FALSE)</f>
        <v>0</v>
      </c>
      <c r="O163" s="74">
        <f>VLOOKUP($B163,'Standards Crosswalk'!$A:$H,5,FALSE)</f>
        <v>0</v>
      </c>
      <c r="P163" s="74">
        <f>VLOOKUP($B163,'Standards Crosswalk'!$A:$H,6,FALSE)</f>
        <v>0</v>
      </c>
      <c r="Q163" s="74">
        <f>VLOOKUP($B163,'Standards Crosswalk'!$A:$H,7,FALSE)</f>
        <v>0</v>
      </c>
      <c r="R163" s="74">
        <f>VLOOKUP($B163,'Standards Crosswalk'!$A:$H,8,FALSE)</f>
        <v>0</v>
      </c>
      <c r="S163" s="74">
        <f>VLOOKUP($B163,'Standards Crosswalk'!$A:$I,9,FALSE)</f>
        <v>0</v>
      </c>
    </row>
    <row r="164" spans="1:19" ht="43.5" thickBot="1" x14ac:dyDescent="0.25">
      <c r="A164" s="73">
        <f t="shared" si="5"/>
        <v>162</v>
      </c>
      <c r="B164" s="79" t="s">
        <v>336</v>
      </c>
      <c r="C164" s="80" t="str">
        <f>VLOOKUP(B164,HECVAT!A:E,2,FALSE)</f>
        <v>Describe or provide a reference to the application's architecture and functionality.</v>
      </c>
      <c r="D164" s="73">
        <f>VLOOKUP(B164,HECVAT!A:E,4,FALSE)</f>
        <v>0</v>
      </c>
      <c r="E164" s="81" t="b">
        <f>IF(Table1[[#This Row],[Column11]]&gt;20,TRUE,FALSE)</f>
        <v>0</v>
      </c>
      <c r="F164" s="81" t="s">
        <v>2056</v>
      </c>
      <c r="G164" s="82" t="s">
        <v>17</v>
      </c>
      <c r="H164" s="83">
        <v>1</v>
      </c>
      <c r="I164" s="73">
        <f>VLOOKUP(B164,HECVAT!A:E,3,FALSE)</f>
        <v>0</v>
      </c>
      <c r="J164" s="73">
        <f>IF(VLOOKUP(Table1[[#This Row],[Column2]],'Analyst Report'!$A$41:$G$88,7,FALSE)="Yes",1,0)</f>
        <v>0</v>
      </c>
      <c r="K164" s="73">
        <f>IF(Table1[[#This Row],[Column8]]=1,20,"")</f>
        <v>20</v>
      </c>
      <c r="L164" s="73">
        <f>IF(Table1[[#This Row],[Column8]]=1,J164*K164,"")</f>
        <v>0</v>
      </c>
      <c r="M164" s="74" t="str">
        <f>VLOOKUP($B164,'Standards Crosswalk'!$A:$H,3,FALSE)</f>
        <v>CSC 3</v>
      </c>
      <c r="N164" s="74">
        <f>VLOOKUP($B164,'Standards Crosswalk'!$A:$H,4,FALSE)</f>
        <v>0</v>
      </c>
      <c r="O164" s="74">
        <f>VLOOKUP($B164,'Standards Crosswalk'!$A:$H,5,FALSE)</f>
        <v>0</v>
      </c>
      <c r="P164" s="74" t="str">
        <f>VLOOKUP($B164,'Standards Crosswalk'!$A:$H,6,FALSE)</f>
        <v>DE.CM-7</v>
      </c>
      <c r="Q164" s="74">
        <f>VLOOKUP($B164,'Standards Crosswalk'!$A:$H,7,FALSE)</f>
        <v>0</v>
      </c>
      <c r="R164" s="74">
        <f>VLOOKUP($B164,'Standards Crosswalk'!$A:$H,8,FALSE)</f>
        <v>0</v>
      </c>
      <c r="S164" s="74">
        <f>VLOOKUP($B164,'Standards Crosswalk'!$A:$I,9,FALSE)</f>
        <v>0</v>
      </c>
    </row>
    <row r="165" spans="1:19" ht="43.5" thickBot="1" x14ac:dyDescent="0.25">
      <c r="A165" s="73">
        <f t="shared" si="5"/>
        <v>163</v>
      </c>
      <c r="B165" s="79" t="s">
        <v>337</v>
      </c>
      <c r="C165" s="80" t="str">
        <f>VLOOKUP(B165,HECVAT!A:E,2,FALSE)</f>
        <v>Is the application available from a trusted source (e.g., iTunes App Store, Android Market, BB World)?</v>
      </c>
      <c r="D165" s="73">
        <f>VLOOKUP(B165,HECVAT!A:E,4,FALSE)</f>
        <v>0</v>
      </c>
      <c r="E165" s="81" t="b">
        <f>IF(Table1[[#This Row],[Column11]]&gt;20,TRUE,FALSE)</f>
        <v>1</v>
      </c>
      <c r="F165" s="81" t="s">
        <v>2056</v>
      </c>
      <c r="G165" s="82" t="s">
        <v>17</v>
      </c>
      <c r="H165" s="83">
        <v>1</v>
      </c>
      <c r="I165" s="73">
        <f>VLOOKUP(B165,HECVAT!A:E,3,FALSE)</f>
        <v>0</v>
      </c>
      <c r="J165" s="73">
        <f>IF(Table1[[#This Row],[Column7]]=Table1[[#This Row],[Column9]],1,0)</f>
        <v>0</v>
      </c>
      <c r="K165" s="73">
        <f>IF(Table1[[#This Row],[Column8]]=1,25,"")</f>
        <v>25</v>
      </c>
      <c r="L165" s="73">
        <f>IF(Table1[[#This Row],[Column8]]=1,J165*K165,"")</f>
        <v>0</v>
      </c>
      <c r="M165" s="74" t="str">
        <f>VLOOKUP($B165,'Standards Crosswalk'!$A:$H,3,FALSE)</f>
        <v>CSC 18</v>
      </c>
      <c r="N165" s="74">
        <f>VLOOKUP($B165,'Standards Crosswalk'!$A:$H,4,FALSE)</f>
        <v>0</v>
      </c>
      <c r="O165" s="74">
        <f>VLOOKUP($B165,'Standards Crosswalk'!$A:$H,5,FALSE)</f>
        <v>0</v>
      </c>
      <c r="P165" s="74" t="str">
        <f>VLOOKUP($B165,'Standards Crosswalk'!$A:$H,6,FALSE)</f>
        <v>DE.CM-7</v>
      </c>
      <c r="Q165" s="74">
        <f>VLOOKUP($B165,'Standards Crosswalk'!$A:$H,7,FALSE)</f>
        <v>0</v>
      </c>
      <c r="R165" s="74">
        <f>VLOOKUP($B165,'Standards Crosswalk'!$A:$H,8,FALSE)</f>
        <v>0</v>
      </c>
      <c r="S165" s="74">
        <f>VLOOKUP($B165,'Standards Crosswalk'!$A:$I,9,FALSE)</f>
        <v>0</v>
      </c>
    </row>
    <row r="166" spans="1:19" ht="43.5" thickBot="1" x14ac:dyDescent="0.25">
      <c r="A166" s="73">
        <f t="shared" si="5"/>
        <v>164</v>
      </c>
      <c r="B166" s="79" t="s">
        <v>338</v>
      </c>
      <c r="C166" s="80" t="str">
        <f>VLOOKUP(B166,HECVAT!A:E,2,FALSE)</f>
        <v>Does the application store, process, or transmit critical data?</v>
      </c>
      <c r="D166" s="73">
        <f>VLOOKUP(B166,HECVAT!A:E,4,FALSE)</f>
        <v>0</v>
      </c>
      <c r="E166" s="81" t="b">
        <f>IF(Table1[[#This Row],[Column11]]&gt;20,TRUE,FALSE)</f>
        <v>0</v>
      </c>
      <c r="F166" s="81" t="s">
        <v>2056</v>
      </c>
      <c r="G166" s="82" t="s">
        <v>21</v>
      </c>
      <c r="H166" s="83">
        <v>1</v>
      </c>
      <c r="I166" s="73">
        <f>VLOOKUP(B166,HECVAT!A:E,3,FALSE)</f>
        <v>0</v>
      </c>
      <c r="J166" s="73">
        <f>IF(Table1[[#This Row],[Column7]]=Table1[[#This Row],[Column9]],1,0)</f>
        <v>0</v>
      </c>
      <c r="K166" s="73">
        <f>IF(Table1[[#This Row],[Column8]]=1,20,"")</f>
        <v>20</v>
      </c>
      <c r="L166" s="73">
        <f>IF(Table1[[#This Row],[Column8]]=1,J166*K166,"")</f>
        <v>0</v>
      </c>
      <c r="M166" s="74" t="str">
        <f>VLOOKUP($B166,'Standards Crosswalk'!$A:$H,3,FALSE)</f>
        <v>CSC 13, CSC 18</v>
      </c>
      <c r="N166" s="74">
        <f>VLOOKUP($B166,'Standards Crosswalk'!$A:$H,4,FALSE)</f>
        <v>0</v>
      </c>
      <c r="O166" s="74" t="str">
        <f>VLOOKUP($B166,'Standards Crosswalk'!$A:$H,5,FALSE)</f>
        <v>8.2.1; 8.2.3</v>
      </c>
      <c r="P166" s="74" t="str">
        <f>VLOOKUP($B166,'Standards Crosswalk'!$A:$H,6,FALSE)</f>
        <v>DE.CM-7, PR.DS-2</v>
      </c>
      <c r="Q166" s="74">
        <f>VLOOKUP($B166,'Standards Crosswalk'!$A:$H,7,FALSE)</f>
        <v>0</v>
      </c>
      <c r="R166" s="74">
        <f>VLOOKUP($B166,'Standards Crosswalk'!$A:$H,8,FALSE)</f>
        <v>0</v>
      </c>
      <c r="S166" s="74">
        <f>VLOOKUP($B166,'Standards Crosswalk'!$A:$I,9,FALSE)</f>
        <v>0</v>
      </c>
    </row>
    <row r="167" spans="1:19" ht="43.5" thickBot="1" x14ac:dyDescent="0.25">
      <c r="A167" s="73">
        <f t="shared" si="5"/>
        <v>165</v>
      </c>
      <c r="B167" s="79" t="s">
        <v>339</v>
      </c>
      <c r="C167" s="80" t="str">
        <f>VLOOKUP(B167,HECVAT!A:E,2,FALSE)</f>
        <v>Is Institution's data encrypted in transport?</v>
      </c>
      <c r="D167" s="73">
        <f>VLOOKUP(B167,HECVAT!A:E,4,FALSE)</f>
        <v>0</v>
      </c>
      <c r="E167" s="81" t="b">
        <f>IF(Table1[[#This Row],[Column11]]&gt;20,TRUE,FALSE)</f>
        <v>1</v>
      </c>
      <c r="F167" s="81" t="s">
        <v>2056</v>
      </c>
      <c r="G167" s="82" t="s">
        <v>17</v>
      </c>
      <c r="H167" s="83">
        <v>1</v>
      </c>
      <c r="I167" s="73">
        <f>VLOOKUP(B167,HECVAT!A:E,3,FALSE)</f>
        <v>0</v>
      </c>
      <c r="J167" s="73">
        <f>IF(Table1[[#This Row],[Column7]]=Table1[[#This Row],[Column9]],1,0)</f>
        <v>0</v>
      </c>
      <c r="K167" s="73">
        <f>IF(Table1[[#This Row],[Column8]]=1,25,"")</f>
        <v>25</v>
      </c>
      <c r="L167" s="73">
        <f>IF(Table1[[#This Row],[Column8]]=1,J167*K167,"")</f>
        <v>0</v>
      </c>
      <c r="M167" s="74" t="str">
        <f>VLOOKUP($B167,'Standards Crosswalk'!$A:$H,3,FALSE)</f>
        <v>CSC 13</v>
      </c>
      <c r="N167" s="74">
        <f>VLOOKUP($B167,'Standards Crosswalk'!$A:$H,4,FALSE)</f>
        <v>0</v>
      </c>
      <c r="O167" s="74" t="str">
        <f>VLOOKUP($B167,'Standards Crosswalk'!$A:$H,5,FALSE)</f>
        <v>8.2.3</v>
      </c>
      <c r="P167" s="74" t="str">
        <f>VLOOKUP($B167,'Standards Crosswalk'!$A:$H,6,FALSE)</f>
        <v>DE.CM-7, PR.DS-2</v>
      </c>
      <c r="Q167" s="74" t="str">
        <f>VLOOKUP($B167,'Standards Crosswalk'!$A:$H,7,FALSE)</f>
        <v>3.1.19</v>
      </c>
      <c r="R167" s="74" t="str">
        <f>VLOOKUP($B167,'Standards Crosswalk'!$A:$H,8,FALSE)</f>
        <v>AC-19(5)</v>
      </c>
      <c r="S167" s="74">
        <f>VLOOKUP($B167,'Standards Crosswalk'!$A:$I,9,FALSE)</f>
        <v>4.0999999999999996</v>
      </c>
    </row>
    <row r="168" spans="1:19" ht="43.5" thickBot="1" x14ac:dyDescent="0.25">
      <c r="A168" s="73">
        <f t="shared" si="5"/>
        <v>166</v>
      </c>
      <c r="B168" s="79" t="s">
        <v>340</v>
      </c>
      <c r="C168" s="80" t="str">
        <f>VLOOKUP(B168,HECVAT!A:E,2,FALSE)</f>
        <v>Is Institution's data encrypted in storage? (e.g. disk encryption, at-rest)</v>
      </c>
      <c r="D168" s="73">
        <f>VLOOKUP(B168,HECVAT!A:E,4,FALSE)</f>
        <v>0</v>
      </c>
      <c r="E168" s="81" t="b">
        <f>IF(Table1[[#This Row],[Column11]]&gt;20,TRUE,FALSE)</f>
        <v>1</v>
      </c>
      <c r="F168" s="81" t="s">
        <v>2056</v>
      </c>
      <c r="G168" s="82" t="s">
        <v>17</v>
      </c>
      <c r="H168" s="83">
        <v>1</v>
      </c>
      <c r="I168" s="73">
        <f>VLOOKUP(B168,HECVAT!A:E,3,FALSE)</f>
        <v>0</v>
      </c>
      <c r="J168" s="73">
        <f>IF(Table1[[#This Row],[Column7]]=Table1[[#This Row],[Column9]],1,0)</f>
        <v>0</v>
      </c>
      <c r="K168" s="73">
        <f>IF(Table1[[#This Row],[Column8]]=1,40,"")</f>
        <v>40</v>
      </c>
      <c r="L168" s="73">
        <f>IF(Table1[[#This Row],[Column8]]=1,J168*K168,"")</f>
        <v>0</v>
      </c>
      <c r="M168" s="74" t="str">
        <f>VLOOKUP($B168,'Standards Crosswalk'!$A:$H,3,FALSE)</f>
        <v>CSC 14</v>
      </c>
      <c r="N168" s="74">
        <f>VLOOKUP($B168,'Standards Crosswalk'!$A:$H,4,FALSE)</f>
        <v>0</v>
      </c>
      <c r="O168" s="74" t="str">
        <f>VLOOKUP($B168,'Standards Crosswalk'!$A:$H,5,FALSE)</f>
        <v>8.2.3</v>
      </c>
      <c r="P168" s="74" t="str">
        <f>VLOOKUP($B168,'Standards Crosswalk'!$A:$H,6,FALSE)</f>
        <v>DE.CM-7, PR.DS-1</v>
      </c>
      <c r="Q168" s="74">
        <f>VLOOKUP($B168,'Standards Crosswalk'!$A:$H,7,FALSE)</f>
        <v>0</v>
      </c>
      <c r="R168" s="74">
        <f>VLOOKUP($B168,'Standards Crosswalk'!$A:$H,8,FALSE)</f>
        <v>0</v>
      </c>
      <c r="S168" s="74">
        <f>VLOOKUP($B168,'Standards Crosswalk'!$A:$I,9,FALSE)</f>
        <v>0</v>
      </c>
    </row>
    <row r="169" spans="1:19" ht="43.5" thickBot="1" x14ac:dyDescent="0.25">
      <c r="A169" s="73">
        <f t="shared" si="5"/>
        <v>167</v>
      </c>
      <c r="B169" s="79" t="s">
        <v>341</v>
      </c>
      <c r="C169" s="80" t="str">
        <f>VLOOKUP(B169,HECVAT!A:E,2,FALSE)</f>
        <v>Does the mobile application support Kerberos, CAS, or Active Directory authentication?</v>
      </c>
      <c r="D169" s="73">
        <f>VLOOKUP(B169,HECVAT!A:E,4,FALSE)</f>
        <v>0</v>
      </c>
      <c r="E169" s="81" t="b">
        <f>IF(Table1[[#This Row],[Column11]]&gt;20,TRUE,FALSE)</f>
        <v>1</v>
      </c>
      <c r="F169" s="81" t="s">
        <v>2056</v>
      </c>
      <c r="G169" s="82" t="s">
        <v>17</v>
      </c>
      <c r="H169" s="83">
        <v>1</v>
      </c>
      <c r="I169" s="73">
        <f>VLOOKUP(B169,HECVAT!A:E,3,FALSE)</f>
        <v>0</v>
      </c>
      <c r="J169" s="73">
        <f>IF(Table1[[#This Row],[Column7]]=Table1[[#This Row],[Column9]],1,0)</f>
        <v>0</v>
      </c>
      <c r="K169" s="73">
        <f>IF(Table1[[#This Row],[Column8]]=1,25,"")</f>
        <v>25</v>
      </c>
      <c r="L169" s="73">
        <f>IF(Table1[[#This Row],[Column8]]=1,J169*K169,"")</f>
        <v>0</v>
      </c>
      <c r="M169" s="74" t="str">
        <f>VLOOKUP($B169,'Standards Crosswalk'!$A:$H,3,FALSE)</f>
        <v>CSC 16</v>
      </c>
      <c r="N169" s="74">
        <f>VLOOKUP($B169,'Standards Crosswalk'!$A:$H,4,FALSE)</f>
        <v>0</v>
      </c>
      <c r="O169" s="74" t="str">
        <f>VLOOKUP($B169,'Standards Crosswalk'!$A:$H,5,FALSE)</f>
        <v>9.4.2</v>
      </c>
      <c r="P169" s="74">
        <f>VLOOKUP($B169,'Standards Crosswalk'!$A:$H,6,FALSE)</f>
        <v>0</v>
      </c>
      <c r="Q169" s="74">
        <f>VLOOKUP($B169,'Standards Crosswalk'!$A:$H,7,FALSE)</f>
        <v>0</v>
      </c>
      <c r="R169" s="74">
        <f>VLOOKUP($B169,'Standards Crosswalk'!$A:$H,8,FALSE)</f>
        <v>0</v>
      </c>
      <c r="S169" s="74">
        <f>VLOOKUP($B169,'Standards Crosswalk'!$A:$I,9,FALSE)</f>
        <v>0</v>
      </c>
    </row>
    <row r="170" spans="1:19" ht="43.5" thickBot="1" x14ac:dyDescent="0.25">
      <c r="A170" s="73">
        <f t="shared" si="5"/>
        <v>168</v>
      </c>
      <c r="B170" s="79" t="s">
        <v>342</v>
      </c>
      <c r="C170" s="80" t="str">
        <f>VLOOKUP(B170,HECVAT!A:E,2,FALSE)</f>
        <v>Will any of these systems be implemented on systems hosting the Institution's data?</v>
      </c>
      <c r="D170" s="73">
        <f>VLOOKUP(B170,HECVAT!A:E,4,FALSE)</f>
        <v>0</v>
      </c>
      <c r="E170" s="81" t="b">
        <f>IF(Table1[[#This Row],[Column11]]&gt;20,TRUE,FALSE)</f>
        <v>0</v>
      </c>
      <c r="F170" s="81" t="s">
        <v>2056</v>
      </c>
      <c r="G170" s="82" t="s">
        <v>17</v>
      </c>
      <c r="H170" s="83">
        <v>1</v>
      </c>
      <c r="I170" s="73">
        <f>VLOOKUP(B170,HECVAT!A:E,3,FALSE)</f>
        <v>0</v>
      </c>
      <c r="J170" s="73">
        <f>IF(VLOOKUP(Table1[[#This Row],[Column2]],'Analyst Report'!$A$41:$G$88,7,FALSE)="Yes",1,0)</f>
        <v>0</v>
      </c>
      <c r="K170" s="73">
        <f>IF(Table1[[#This Row],[Column8]]=1,20,"")</f>
        <v>20</v>
      </c>
      <c r="L170" s="73">
        <f>IF(Table1[[#This Row],[Column8]]=1,J170*K170,"")</f>
        <v>0</v>
      </c>
      <c r="M170" s="74" t="str">
        <f>VLOOKUP($B170,'Standards Crosswalk'!$A:$H,3,FALSE)</f>
        <v>CSC 16</v>
      </c>
      <c r="N170" s="74">
        <f>VLOOKUP($B170,'Standards Crosswalk'!$A:$H,4,FALSE)</f>
        <v>0</v>
      </c>
      <c r="O170" s="74">
        <f>VLOOKUP($B170,'Standards Crosswalk'!$A:$H,5,FALSE)</f>
        <v>0</v>
      </c>
      <c r="P170" s="74">
        <f>VLOOKUP($B170,'Standards Crosswalk'!$A:$H,6,FALSE)</f>
        <v>0</v>
      </c>
      <c r="Q170" s="74">
        <f>VLOOKUP($B170,'Standards Crosswalk'!$A:$H,7,FALSE)</f>
        <v>0</v>
      </c>
      <c r="R170" s="74">
        <f>VLOOKUP($B170,'Standards Crosswalk'!$A:$H,8,FALSE)</f>
        <v>0</v>
      </c>
      <c r="S170" s="74">
        <f>VLOOKUP($B170,'Standards Crosswalk'!$A:$I,9,FALSE)</f>
        <v>0</v>
      </c>
    </row>
    <row r="171" spans="1:19" ht="43.5" thickBot="1" x14ac:dyDescent="0.25">
      <c r="A171" s="73">
        <f t="shared" si="5"/>
        <v>169</v>
      </c>
      <c r="B171" s="79" t="s">
        <v>343</v>
      </c>
      <c r="C171" s="80" t="str">
        <f>VLOOKUP(B171,HECVAT!A:E,2,FALSE)</f>
        <v>Does the application adhere to secure coding practices (e.g. OWASP, etc.)?</v>
      </c>
      <c r="D171" s="73">
        <f>VLOOKUP(B171,HECVAT!A:E,4,FALSE)</f>
        <v>0</v>
      </c>
      <c r="E171" s="81" t="b">
        <f>IF(Table1[[#This Row],[Column11]]&gt;20,TRUE,FALSE)</f>
        <v>1</v>
      </c>
      <c r="F171" s="81" t="s">
        <v>2056</v>
      </c>
      <c r="G171" s="82" t="s">
        <v>17</v>
      </c>
      <c r="H171" s="83">
        <v>1</v>
      </c>
      <c r="I171" s="73">
        <f>VLOOKUP(B171,HECVAT!A:E,3,FALSE)</f>
        <v>0</v>
      </c>
      <c r="J171" s="73">
        <f>IF(Table1[[#This Row],[Column7]]=Table1[[#This Row],[Column9]],1,0)</f>
        <v>0</v>
      </c>
      <c r="K171" s="73">
        <f>IF(Table1[[#This Row],[Column8]]=1,25,"")</f>
        <v>25</v>
      </c>
      <c r="L171" s="73">
        <f>IF(Table1[[#This Row],[Column8]]=1,J171*K171,"")</f>
        <v>0</v>
      </c>
      <c r="M171" s="74" t="str">
        <f>VLOOKUP($B171,'Standards Crosswalk'!$A:$H,3,FALSE)</f>
        <v>CSC 18</v>
      </c>
      <c r="N171" s="74">
        <f>VLOOKUP($B171,'Standards Crosswalk'!$A:$H,4,FALSE)</f>
        <v>0</v>
      </c>
      <c r="O171" s="74" t="str">
        <f>VLOOKUP($B171,'Standards Crosswalk'!$A:$H,5,FALSE)</f>
        <v>14.2.1</v>
      </c>
      <c r="P171" s="74" t="str">
        <f>VLOOKUP($B171,'Standards Crosswalk'!$A:$H,6,FALSE)</f>
        <v>DE.CM-7</v>
      </c>
      <c r="Q171" s="74">
        <f>VLOOKUP($B171,'Standards Crosswalk'!$A:$H,7,FALSE)</f>
        <v>0</v>
      </c>
      <c r="R171" s="74">
        <f>VLOOKUP($B171,'Standards Crosswalk'!$A:$H,8,FALSE)</f>
        <v>0</v>
      </c>
      <c r="S171" s="74">
        <f>VLOOKUP($B171,'Standards Crosswalk'!$A:$I,9,FALSE)</f>
        <v>0</v>
      </c>
    </row>
    <row r="172" spans="1:19" ht="43.5" thickBot="1" x14ac:dyDescent="0.25">
      <c r="A172" s="73">
        <f t="shared" si="5"/>
        <v>170</v>
      </c>
      <c r="B172" s="79" t="s">
        <v>344</v>
      </c>
      <c r="C172" s="80" t="str">
        <f>VLOOKUP(B172,HECVAT!A:E,2,FALSE)</f>
        <v>Has the application been tested for vulnerabilities by a third party?</v>
      </c>
      <c r="D172" s="73">
        <f>VLOOKUP(B172,HECVAT!A:E,4,FALSE)</f>
        <v>0</v>
      </c>
      <c r="E172" s="81" t="b">
        <f>IF(Table1[[#This Row],[Column11]]&gt;20,TRUE,FALSE)</f>
        <v>1</v>
      </c>
      <c r="F172" s="81" t="s">
        <v>2056</v>
      </c>
      <c r="G172" s="82" t="s">
        <v>17</v>
      </c>
      <c r="H172" s="83">
        <v>1</v>
      </c>
      <c r="I172" s="73">
        <f>VLOOKUP(B172,HECVAT!A:E,3,FALSE)</f>
        <v>0</v>
      </c>
      <c r="J172" s="73">
        <f>IF(Table1[[#This Row],[Column7]]=Table1[[#This Row],[Column9]],1,0)</f>
        <v>0</v>
      </c>
      <c r="K172" s="73">
        <f>IF(Table1[[#This Row],[Column8]]=1,25,"")</f>
        <v>25</v>
      </c>
      <c r="L172" s="73">
        <f>IF(Table1[[#This Row],[Column8]]=1,J172*K172,"")</f>
        <v>0</v>
      </c>
      <c r="M172" s="74" t="str">
        <f>VLOOKUP($B172,'Standards Crosswalk'!$A:$H,3,FALSE)</f>
        <v>CSC 18</v>
      </c>
      <c r="N172" s="74">
        <f>VLOOKUP($B172,'Standards Crosswalk'!$A:$H,4,FALSE)</f>
        <v>0</v>
      </c>
      <c r="O172" s="74" t="str">
        <f>VLOOKUP($B172,'Standards Crosswalk'!$A:$H,5,FALSE)</f>
        <v>12.7.1, 18.2.1</v>
      </c>
      <c r="P172" s="74" t="str">
        <f>VLOOKUP($B172,'Standards Crosswalk'!$A:$H,6,FALSE)</f>
        <v>DE.CM-7, DE.CM-8, ID.RA-1</v>
      </c>
      <c r="Q172" s="74">
        <f>VLOOKUP($B172,'Standards Crosswalk'!$A:$H,7,FALSE)</f>
        <v>0</v>
      </c>
      <c r="R172" s="74">
        <f>VLOOKUP($B172,'Standards Crosswalk'!$A:$H,8,FALSE)</f>
        <v>0</v>
      </c>
      <c r="S172" s="74">
        <f>VLOOKUP($B172,'Standards Crosswalk'!$A:$I,9,FALSE)</f>
        <v>0</v>
      </c>
    </row>
    <row r="173" spans="1:19" ht="43.5" thickBot="1" x14ac:dyDescent="0.25">
      <c r="A173" s="73">
        <f t="shared" si="5"/>
        <v>171</v>
      </c>
      <c r="B173" s="79" t="s">
        <v>570</v>
      </c>
      <c r="C173" s="80" t="str">
        <f>VLOOKUP(B173,HECVAT!A:E,2,FALSE)</f>
        <v>State the party that performed the vulnerability test and the date it was conducted?</v>
      </c>
      <c r="D173" s="73">
        <f>VLOOKUP(B173,HECVAT!A:E,4,FALSE)</f>
        <v>0</v>
      </c>
      <c r="E173" s="81" t="b">
        <f>IF(Table1[[#This Row],[Column11]]&gt;20,TRUE,FALSE)</f>
        <v>1</v>
      </c>
      <c r="F173" s="81" t="s">
        <v>2056</v>
      </c>
      <c r="G173" s="82" t="s">
        <v>17</v>
      </c>
      <c r="H173" s="83">
        <v>1</v>
      </c>
      <c r="I173" s="73">
        <f>VLOOKUP(B173,HECVAT!A:E,3,FALSE)</f>
        <v>0</v>
      </c>
      <c r="J173" s="73">
        <f>IF(VLOOKUP(Table1[[#This Row],[Column2]],'Analyst Report'!$A$41:$G$88,7,FALSE)="Yes",1,0)</f>
        <v>0</v>
      </c>
      <c r="K173" s="73">
        <f>IF(Table1[[#This Row],[Column8]]=1,25,"")</f>
        <v>25</v>
      </c>
      <c r="L173" s="73">
        <f>IF(Table1[[#This Row],[Column8]]=1,J173*K173,"")</f>
        <v>0</v>
      </c>
      <c r="M173" s="74" t="str">
        <f>VLOOKUP($B173,'Standards Crosswalk'!$A:$H,3,FALSE)</f>
        <v>CSC 18</v>
      </c>
      <c r="N173" s="74">
        <f>VLOOKUP($B173,'Standards Crosswalk'!$A:$H,4,FALSE)</f>
        <v>0</v>
      </c>
      <c r="O173" s="74" t="str">
        <f>VLOOKUP($B173,'Standards Crosswalk'!$A:$H,5,FALSE)</f>
        <v>12.7.1, 18.2.1</v>
      </c>
      <c r="P173" s="74" t="str">
        <f>VLOOKUP($B173,'Standards Crosswalk'!$A:$H,6,FALSE)</f>
        <v>DE.CM-7, DE.CM-8, ID.RA-1</v>
      </c>
      <c r="Q173" s="74">
        <f>VLOOKUP($B173,'Standards Crosswalk'!$A:$H,7,FALSE)</f>
        <v>0</v>
      </c>
      <c r="R173" s="74">
        <f>VLOOKUP($B173,'Standards Crosswalk'!$A:$H,8,FALSE)</f>
        <v>0</v>
      </c>
      <c r="S173" s="74">
        <f>VLOOKUP($B173,'Standards Crosswalk'!$A:$I,9,FALSE)</f>
        <v>0</v>
      </c>
    </row>
    <row r="174" spans="1:19" ht="72" thickBot="1" x14ac:dyDescent="0.25">
      <c r="A174" s="73">
        <f t="shared" si="5"/>
        <v>172</v>
      </c>
      <c r="B174" s="79" t="s">
        <v>345</v>
      </c>
      <c r="C174" s="80" t="str">
        <f>VLOOKUP(B174,HECVAT!A:E,2,FALSE)</f>
        <v>Does your organization have physical security controls and policies in place?</v>
      </c>
      <c r="D174" s="73">
        <f>VLOOKUP(B174,HECVAT!A:E,4,FALSE)</f>
        <v>0</v>
      </c>
      <c r="E174" s="81" t="b">
        <f>IF(Table1[[#This Row],[Column11]]&gt;20,TRUE,FALSE)</f>
        <v>0</v>
      </c>
      <c r="F174" s="81" t="s">
        <v>2057</v>
      </c>
      <c r="G174" s="100" t="s">
        <v>17</v>
      </c>
      <c r="H174" s="83">
        <v>1</v>
      </c>
      <c r="I174" s="73">
        <f>VLOOKUP(B174,HECVAT!A:E,3,FALSE)</f>
        <v>0</v>
      </c>
      <c r="J174" s="73">
        <f>IF(Table1[[#This Row],[Column7]]=Table1[[#This Row],[Column9]],1,0)</f>
        <v>0</v>
      </c>
      <c r="K174" s="73">
        <f>IF(Table1[[#This Row],[Column8]]=1,20,"")</f>
        <v>20</v>
      </c>
      <c r="L174" s="73">
        <f>IF(Table1[[#This Row],[Column8]]=1,J174*K174,"")</f>
        <v>0</v>
      </c>
      <c r="M174" s="74" t="str">
        <f>VLOOKUP($B174,'Standards Crosswalk'!$A:$H,3,FALSE)</f>
        <v>CSC 3</v>
      </c>
      <c r="N174" s="74">
        <f>VLOOKUP($B174,'Standards Crosswalk'!$A:$H,4,FALSE)</f>
        <v>0</v>
      </c>
      <c r="O174" s="74" t="str">
        <f>VLOOKUP($B174,'Standards Crosswalk'!$A:$H,5,FALSE)</f>
        <v>11.1.1</v>
      </c>
      <c r="P174" s="74" t="str">
        <f>VLOOKUP($B174,'Standards Crosswalk'!$A:$H,6,FALSE)</f>
        <v>PR.AC-2, PR.AT-5, PR.IP-5, DE.CM-2</v>
      </c>
      <c r="Q174" s="74" t="str">
        <f>VLOOKUP($B174,'Standards Crosswalk'!$A:$H,7,FALSE)</f>
        <v>3.8.2, 3.10.1, 3.10.2, 3.10.5, 3.10.6, 3.12.1</v>
      </c>
      <c r="R174" s="74" t="str">
        <f>VLOOKUP($B174,'Standards Crosswalk'!$A:$H,8,FALSE)</f>
        <v>MP-4, PE-2, PE-5, PE-6, PE-17</v>
      </c>
      <c r="S174" s="74" t="str">
        <f>VLOOKUP($B174,'Standards Crosswalk'!$A:$I,9,FALSE)</f>
        <v>9.x</v>
      </c>
    </row>
    <row r="175" spans="1:19" ht="72" thickBot="1" x14ac:dyDescent="0.25">
      <c r="A175" s="73">
        <f t="shared" si="5"/>
        <v>173</v>
      </c>
      <c r="B175" s="79" t="s">
        <v>346</v>
      </c>
      <c r="C175" s="80" t="str">
        <f>VLOOKUP(B175,HECVAT!A:E,2,FALSE)</f>
        <v>Are employees allowed to take home Institution's data in any form?</v>
      </c>
      <c r="D175" s="73">
        <f>VLOOKUP(B175,HECVAT!A:E,4,FALSE)</f>
        <v>0</v>
      </c>
      <c r="E175" s="81" t="b">
        <f>IF(Table1[[#This Row],[Column11]]&gt;20,TRUE,FALSE)</f>
        <v>1</v>
      </c>
      <c r="F175" s="81" t="s">
        <v>2057</v>
      </c>
      <c r="G175" s="82" t="s">
        <v>21</v>
      </c>
      <c r="H175" s="83">
        <v>1</v>
      </c>
      <c r="I175" s="73">
        <f>VLOOKUP(B175,HECVAT!A:E,3,FALSE)</f>
        <v>0</v>
      </c>
      <c r="J175" s="73">
        <f>IF(Table1[[#This Row],[Column7]]=Table1[[#This Row],[Column9]],1,0)</f>
        <v>0</v>
      </c>
      <c r="K175" s="73">
        <f>IF(Table1[[#This Row],[Column8]]=1,25,"")</f>
        <v>25</v>
      </c>
      <c r="L175" s="73">
        <f>IF(Table1[[#This Row],[Column8]]=1,J175*K175,"")</f>
        <v>0</v>
      </c>
      <c r="M175" s="74" t="str">
        <f>VLOOKUP($B175,'Standards Crosswalk'!$A:$H,3,FALSE)</f>
        <v>CSC 13</v>
      </c>
      <c r="N175" s="74">
        <f>VLOOKUP($B175,'Standards Crosswalk'!$A:$H,4,FALSE)</f>
        <v>0</v>
      </c>
      <c r="O175" s="74" t="str">
        <f>VLOOKUP($B175,'Standards Crosswalk'!$A:$H,5,FALSE)</f>
        <v>8.2.3</v>
      </c>
      <c r="P175" s="74" t="str">
        <f>VLOOKUP($B175,'Standards Crosswalk'!$A:$H,6,FALSE)</f>
        <v>PR.AC-2, PR.AC-4, PR.DS-1, PR.DS-3, PR.DS-5</v>
      </c>
      <c r="Q175" s="74" t="str">
        <f>VLOOKUP($B175,'Standards Crosswalk'!$A:$H,7,FALSE)</f>
        <v>3.8.1, 3.8.5, 3.8.7</v>
      </c>
      <c r="R175" s="74" t="str">
        <f>VLOOKUP($B175,'Standards Crosswalk'!$A:$H,8,FALSE)</f>
        <v>MP-2, MP-5, MP-7</v>
      </c>
      <c r="S175" s="74" t="str">
        <f>VLOOKUP($B175,'Standards Crosswalk'!$A:$I,9,FALSE)</f>
        <v>12.1, 9.x</v>
      </c>
    </row>
    <row r="176" spans="1:19" ht="29.25" thickBot="1" x14ac:dyDescent="0.25">
      <c r="A176" s="73">
        <f t="shared" si="5"/>
        <v>174</v>
      </c>
      <c r="B176" s="79" t="s">
        <v>347</v>
      </c>
      <c r="C176" s="80" t="str">
        <f>VLOOKUP(B176,HECVAT!A:E,2,FALSE)</f>
        <v>Are video monitoring feeds retained?</v>
      </c>
      <c r="D176" s="73">
        <f>VLOOKUP(B176,HECVAT!A:E,4,FALSE)</f>
        <v>0</v>
      </c>
      <c r="E176" s="81" t="b">
        <f>IF(Table1[[#This Row],[Column11]]&gt;20,TRUE,FALSE)</f>
        <v>0</v>
      </c>
      <c r="F176" s="81" t="s">
        <v>2057</v>
      </c>
      <c r="G176" s="82" t="s">
        <v>17</v>
      </c>
      <c r="H176" s="83">
        <v>1</v>
      </c>
      <c r="I176" s="73">
        <f>VLOOKUP(B176,HECVAT!A:E,3,FALSE)</f>
        <v>0</v>
      </c>
      <c r="J176" s="73">
        <f>IF(Table1[[#This Row],[Column7]]=Table1[[#This Row],[Column9]],1,0)</f>
        <v>0</v>
      </c>
      <c r="K176" s="73">
        <f>IF(Table1[[#This Row],[Column8]]=1,20,"")</f>
        <v>20</v>
      </c>
      <c r="L176" s="73">
        <f>IF(Table1[[#This Row],[Column8]]=1,J176*K176,"")</f>
        <v>0</v>
      </c>
      <c r="M176" s="74" t="str">
        <f>VLOOKUP($B176,'Standards Crosswalk'!$A:$H,3,FALSE)</f>
        <v>CSC 3</v>
      </c>
      <c r="N176" s="74">
        <f>VLOOKUP($B176,'Standards Crosswalk'!$A:$H,4,FALSE)</f>
        <v>0</v>
      </c>
      <c r="O176" s="74" t="str">
        <f>VLOOKUP($B176,'Standards Crosswalk'!$A:$H,5,FALSE)</f>
        <v>11.1.2, 11.1.3</v>
      </c>
      <c r="P176" s="74" t="str">
        <f>VLOOKUP($B176,'Standards Crosswalk'!$A:$H,6,FALSE)</f>
        <v>DE.CM-2</v>
      </c>
      <c r="Q176" s="74" t="str">
        <f>VLOOKUP($B176,'Standards Crosswalk'!$A:$H,7,FALSE)</f>
        <v>3.10.2</v>
      </c>
      <c r="R176" s="74" t="str">
        <f>VLOOKUP($B176,'Standards Crosswalk'!$A:$H,8,FALSE)</f>
        <v>PE-6</v>
      </c>
      <c r="S176" s="74" t="str">
        <f>VLOOKUP($B176,'Standards Crosswalk'!$A:$I,9,FALSE)</f>
        <v>9.x</v>
      </c>
    </row>
    <row r="177" spans="1:19" ht="29.25" thickBot="1" x14ac:dyDescent="0.25">
      <c r="A177" s="73">
        <f t="shared" si="5"/>
        <v>175</v>
      </c>
      <c r="B177" s="79" t="s">
        <v>348</v>
      </c>
      <c r="C177" s="80" t="str">
        <f>VLOOKUP(B177,HECVAT!A:E,2,FALSE)</f>
        <v>Are video feeds monitored by datacenter staff?</v>
      </c>
      <c r="D177" s="73">
        <f>VLOOKUP(B177,HECVAT!A:E,4,FALSE)</f>
        <v>0</v>
      </c>
      <c r="E177" s="81" t="b">
        <f>IF(Table1[[#This Row],[Column11]]&gt;20,TRUE,FALSE)</f>
        <v>0</v>
      </c>
      <c r="F177" s="81" t="s">
        <v>2057</v>
      </c>
      <c r="G177" s="82" t="s">
        <v>17</v>
      </c>
      <c r="H177" s="83">
        <v>1</v>
      </c>
      <c r="I177" s="73">
        <f>VLOOKUP(B177,HECVAT!A:E,3,FALSE)</f>
        <v>0</v>
      </c>
      <c r="J177" s="73">
        <f>IF(Table1[[#This Row],[Column7]]=Table1[[#This Row],[Column9]],1,0)</f>
        <v>0</v>
      </c>
      <c r="K177" s="73">
        <f>IF(Table1[[#This Row],[Column8]]=1,20,"")</f>
        <v>20</v>
      </c>
      <c r="L177" s="73">
        <f>IF(Table1[[#This Row],[Column8]]=1,J177*K177,"")</f>
        <v>0</v>
      </c>
      <c r="M177" s="74" t="str">
        <f>VLOOKUP($B177,'Standards Crosswalk'!$A:$H,3,FALSE)</f>
        <v>CSC 3</v>
      </c>
      <c r="N177" s="74">
        <f>VLOOKUP($B177,'Standards Crosswalk'!$A:$H,4,FALSE)</f>
        <v>0</v>
      </c>
      <c r="O177" s="74" t="str">
        <f>VLOOKUP($B177,'Standards Crosswalk'!$A:$H,5,FALSE)</f>
        <v>11.1.2,  11.1.3</v>
      </c>
      <c r="P177" s="74" t="str">
        <f>VLOOKUP($B177,'Standards Crosswalk'!$A:$H,6,FALSE)</f>
        <v>DE.CM-2</v>
      </c>
      <c r="Q177" s="74" t="str">
        <f>VLOOKUP($B177,'Standards Crosswalk'!$A:$H,7,FALSE)</f>
        <v>3.10.2</v>
      </c>
      <c r="R177" s="74" t="str">
        <f>VLOOKUP($B177,'Standards Crosswalk'!$A:$H,8,FALSE)</f>
        <v>PE-6</v>
      </c>
      <c r="S177" s="74" t="str">
        <f>VLOOKUP($B177,'Standards Crosswalk'!$A:$I,9,FALSE)</f>
        <v>9.x</v>
      </c>
    </row>
    <row r="178" spans="1:19" ht="43.5" thickBot="1" x14ac:dyDescent="0.25">
      <c r="A178" s="73">
        <f t="shared" si="5"/>
        <v>176</v>
      </c>
      <c r="B178" s="79" t="s">
        <v>349</v>
      </c>
      <c r="C178" s="80" t="str">
        <f>VLOOKUP(B178,HECVAT!A:E,2,FALSE)</f>
        <v>Are individuals required to sign in/out for installation and removal of equipment?</v>
      </c>
      <c r="D178" s="73">
        <f>VLOOKUP(B178,HECVAT!A:E,4,FALSE)</f>
        <v>0</v>
      </c>
      <c r="E178" s="81" t="b">
        <f>IF(Table1[[#This Row],[Column11]]&gt;20,TRUE,FALSE)</f>
        <v>0</v>
      </c>
      <c r="F178" s="81" t="s">
        <v>2057</v>
      </c>
      <c r="G178" s="82" t="s">
        <v>17</v>
      </c>
      <c r="H178" s="83">
        <v>1</v>
      </c>
      <c r="I178" s="73">
        <f>VLOOKUP(B178,HECVAT!A:E,3,FALSE)</f>
        <v>0</v>
      </c>
      <c r="J178" s="73">
        <f>IF(Table1[[#This Row],[Column7]]=Table1[[#This Row],[Column9]],1,0)</f>
        <v>0</v>
      </c>
      <c r="K178" s="73">
        <f>IF(Table1[[#This Row],[Column8]]=1,15,"")</f>
        <v>15</v>
      </c>
      <c r="L178" s="73">
        <f>IF(Table1[[#This Row],[Column8]]=1,J178*K178,"")</f>
        <v>0</v>
      </c>
      <c r="M178" s="74" t="str">
        <f>VLOOKUP($B178,'Standards Crosswalk'!$A:$H,3,FALSE)</f>
        <v>CSC 14</v>
      </c>
      <c r="N178" s="74">
        <f>VLOOKUP($B178,'Standards Crosswalk'!$A:$H,4,FALSE)</f>
        <v>0</v>
      </c>
      <c r="O178" s="74" t="str">
        <f>VLOOKUP($B178,'Standards Crosswalk'!$A:$H,5,FALSE)</f>
        <v>11.1.2</v>
      </c>
      <c r="P178" s="74" t="str">
        <f>VLOOKUP($B178,'Standards Crosswalk'!$A:$H,6,FALSE)</f>
        <v>PR.DS-3</v>
      </c>
      <c r="Q178" s="74" t="str">
        <f>VLOOKUP($B178,'Standards Crosswalk'!$A:$H,7,FALSE)</f>
        <v>3.7.3, 3.8.1, 3.8.5, 3.8.7, 3.10.3</v>
      </c>
      <c r="R178" s="74" t="str">
        <f>VLOOKUP($B178,'Standards Crosswalk'!$A:$H,8,FALSE)</f>
        <v>MP-2, MP-5, MP-7</v>
      </c>
      <c r="S178" s="74" t="str">
        <f>VLOOKUP($B178,'Standards Crosswalk'!$A:$I,9,FALSE)</f>
        <v>9.x</v>
      </c>
    </row>
    <row r="179" spans="1:19" ht="57.75" thickBot="1" x14ac:dyDescent="0.25">
      <c r="A179" s="73">
        <f t="shared" si="5"/>
        <v>177</v>
      </c>
      <c r="B179" s="79" t="s">
        <v>350</v>
      </c>
      <c r="C179" s="80" t="str">
        <f>VLOOKUP(B179,HECVAT!A:E,2,FALSE)</f>
        <v>Can you share the organization chart, mission statement, and policies for your information security unit?</v>
      </c>
      <c r="D179" s="73">
        <f>VLOOKUP(B179,HECVAT!A:E,4,FALSE)</f>
        <v>0</v>
      </c>
      <c r="E179" s="81" t="b">
        <f>IF(Table1[[#This Row],[Column11]]&gt;20,TRUE,FALSE)</f>
        <v>0</v>
      </c>
      <c r="F179" s="81" t="s">
        <v>2058</v>
      </c>
      <c r="G179" s="100" t="s">
        <v>17</v>
      </c>
      <c r="H179" s="83">
        <v>1</v>
      </c>
      <c r="I179" s="73">
        <f>VLOOKUP(B179,HECVAT!A:E,3,FALSE)</f>
        <v>0</v>
      </c>
      <c r="J179" s="73">
        <f>IF(Table1[[#This Row],[Column7]]=Table1[[#This Row],[Column9]],1,0)</f>
        <v>0</v>
      </c>
      <c r="K179" s="73">
        <f>IF(Table1[[#This Row],[Column8]]=1,20,"")</f>
        <v>20</v>
      </c>
      <c r="L179" s="73">
        <f>IF(Table1[[#This Row],[Column8]]=1,J179*K179,"")</f>
        <v>0</v>
      </c>
      <c r="M179" s="74">
        <f>VLOOKUP($B179,'Standards Crosswalk'!$A:$H,3,FALSE)</f>
        <v>0</v>
      </c>
      <c r="N179" s="74">
        <f>VLOOKUP($B179,'Standards Crosswalk'!$A:$H,4,FALSE)</f>
        <v>0</v>
      </c>
      <c r="O179" s="74" t="str">
        <f>VLOOKUP($B179,'Standards Crosswalk'!$A:$H,5,FALSE)</f>
        <v>5.1.1</v>
      </c>
      <c r="P179" s="74" t="str">
        <f>VLOOKUP($B179,'Standards Crosswalk'!$A:$H,6,FALSE)</f>
        <v>ID.GV-2</v>
      </c>
      <c r="Q179" s="74" t="str">
        <f>VLOOKUP($B179,'Standards Crosswalk'!$A:$H,7,FALSE)</f>
        <v>3.9.1, 3.9.2</v>
      </c>
      <c r="R179" s="74" t="str">
        <f>VLOOKUP($B179,'Standards Crosswalk'!$A:$H,8,FALSE)</f>
        <v>PM-2, PM-10, SI-5, CA-5, PM-1</v>
      </c>
      <c r="S179" s="74" t="str">
        <f>VLOOKUP($B179,'Standards Crosswalk'!$A:$I,9,FALSE)</f>
        <v>12.4, 12.5</v>
      </c>
    </row>
    <row r="180" spans="1:19" ht="57.75" thickBot="1" x14ac:dyDescent="0.25">
      <c r="A180" s="73">
        <f t="shared" si="5"/>
        <v>178</v>
      </c>
      <c r="B180" s="79" t="s">
        <v>351</v>
      </c>
      <c r="C180" s="80" t="str">
        <f>VLOOKUP(B180,HECVAT!A:E,2,FALSE)</f>
        <v>Do you have a documented patch management process?</v>
      </c>
      <c r="D180" s="73">
        <f>VLOOKUP(B180,HECVAT!A:E,4,FALSE)</f>
        <v>0</v>
      </c>
      <c r="E180" s="81" t="b">
        <f>IF(Table1[[#This Row],[Column11]]&gt;20,TRUE,FALSE)</f>
        <v>1</v>
      </c>
      <c r="F180" s="81" t="s">
        <v>2058</v>
      </c>
      <c r="G180" s="82" t="s">
        <v>17</v>
      </c>
      <c r="H180" s="83">
        <v>1</v>
      </c>
      <c r="I180" s="73">
        <f>VLOOKUP(B180,HECVAT!A:E,3,FALSE)</f>
        <v>0</v>
      </c>
      <c r="J180" s="73">
        <f>IF(Table1[[#This Row],[Column7]]=Table1[[#This Row],[Column9]],1,0)</f>
        <v>0</v>
      </c>
      <c r="K180" s="73">
        <f>IF(Table1[[#This Row],[Column8]]=1,25,"")</f>
        <v>25</v>
      </c>
      <c r="L180" s="73">
        <f>IF(Table1[[#This Row],[Column8]]=1,J180*K180,"")</f>
        <v>0</v>
      </c>
      <c r="M180" s="74" t="str">
        <f>VLOOKUP($B180,'Standards Crosswalk'!$A:$H,3,FALSE)</f>
        <v>CSC 4</v>
      </c>
      <c r="N180" s="74">
        <f>VLOOKUP($B180,'Standards Crosswalk'!$A:$H,4,FALSE)</f>
        <v>0</v>
      </c>
      <c r="O180" s="74" t="str">
        <f>VLOOKUP($B180,'Standards Crosswalk'!$A:$H,5,FALSE)</f>
        <v>12.6.1</v>
      </c>
      <c r="P180" s="74" t="str">
        <f>VLOOKUP($B180,'Standards Crosswalk'!$A:$H,6,FALSE)</f>
        <v>PR.IP-12</v>
      </c>
      <c r="Q180" s="74">
        <f>VLOOKUP($B180,'Standards Crosswalk'!$A:$H,7,FALSE)</f>
        <v>0</v>
      </c>
      <c r="R180" s="74" t="str">
        <f>VLOOKUP($B180,'Standards Crosswalk'!$A:$H,8,FALSE)</f>
        <v>CA-5, PM-1</v>
      </c>
      <c r="S180" s="74" t="str">
        <f>VLOOKUP($B180,'Standards Crosswalk'!$A:$I,9,FALSE)</f>
        <v>6.4.5</v>
      </c>
    </row>
    <row r="181" spans="1:19" ht="57.75" thickBot="1" x14ac:dyDescent="0.25">
      <c r="A181" s="73">
        <f t="shared" si="5"/>
        <v>179</v>
      </c>
      <c r="B181" s="79" t="s">
        <v>352</v>
      </c>
      <c r="C181" s="80" t="str">
        <f>VLOOKUP(B181,HECVAT!A:E,2,FALSE)</f>
        <v>Can you accommodate encryption requirements using open standards?</v>
      </c>
      <c r="D181" s="73">
        <f>VLOOKUP(B181,HECVAT!A:E,4,FALSE)</f>
        <v>0</v>
      </c>
      <c r="E181" s="81" t="b">
        <f>IF(Table1[[#This Row],[Column11]]&gt;20,TRUE,FALSE)</f>
        <v>0</v>
      </c>
      <c r="F181" s="81" t="s">
        <v>2058</v>
      </c>
      <c r="G181" s="82" t="s">
        <v>17</v>
      </c>
      <c r="H181" s="83">
        <v>1</v>
      </c>
      <c r="I181" s="73">
        <f>VLOOKUP(B181,HECVAT!A:E,3,FALSE)</f>
        <v>0</v>
      </c>
      <c r="J181" s="73">
        <f>IF(Table1[[#This Row],[Column7]]=Table1[[#This Row],[Column9]],1,0)</f>
        <v>0</v>
      </c>
      <c r="K181" s="73">
        <f>IF(Table1[[#This Row],[Column8]]=1,20,"")</f>
        <v>20</v>
      </c>
      <c r="L181" s="73">
        <f>IF(Table1[[#This Row],[Column8]]=1,J181*K181,"")</f>
        <v>0</v>
      </c>
      <c r="M181" s="74" t="str">
        <f>VLOOKUP($B181,'Standards Crosswalk'!$A:$H,3,FALSE)</f>
        <v>CSC 13</v>
      </c>
      <c r="N181" s="74">
        <f>VLOOKUP($B181,'Standards Crosswalk'!$A:$H,4,FALSE)</f>
        <v>0</v>
      </c>
      <c r="O181" s="74" t="str">
        <f>VLOOKUP($B181,'Standards Crosswalk'!$A:$H,5,FALSE)</f>
        <v>10.1.1, 18.1.5</v>
      </c>
      <c r="P181" s="74">
        <f>VLOOKUP($B181,'Standards Crosswalk'!$A:$H,6,FALSE)</f>
        <v>0</v>
      </c>
      <c r="Q181" s="74">
        <f>VLOOKUP($B181,'Standards Crosswalk'!$A:$H,7,FALSE)</f>
        <v>0</v>
      </c>
      <c r="R181" s="74" t="str">
        <f>VLOOKUP($B181,'Standards Crosswalk'!$A:$H,8,FALSE)</f>
        <v>CA-5, PM-1</v>
      </c>
      <c r="S181" s="74">
        <f>VLOOKUP($B181,'Standards Crosswalk'!$A:$I,9,FALSE)</f>
        <v>0</v>
      </c>
    </row>
    <row r="182" spans="1:19" ht="57.75" thickBot="1" x14ac:dyDescent="0.25">
      <c r="A182" s="73">
        <f t="shared" si="5"/>
        <v>180</v>
      </c>
      <c r="B182" s="79" t="s">
        <v>353</v>
      </c>
      <c r="C182" s="80" t="str">
        <f>VLOOKUP(B182,HECVAT!A:E,2,FALSE)</f>
        <v>Have your developers been trained in secure coding techniques?</v>
      </c>
      <c r="D182" s="73">
        <f>VLOOKUP(B182,HECVAT!A:E,4,FALSE)</f>
        <v>0</v>
      </c>
      <c r="E182" s="81" t="b">
        <f>IF(Table1[[#This Row],[Column11]]&gt;20,TRUE,FALSE)</f>
        <v>1</v>
      </c>
      <c r="F182" s="81" t="s">
        <v>2058</v>
      </c>
      <c r="G182" s="82" t="s">
        <v>17</v>
      </c>
      <c r="H182" s="83">
        <v>1</v>
      </c>
      <c r="I182" s="73">
        <f>VLOOKUP(B182,HECVAT!A:E,3,FALSE)</f>
        <v>0</v>
      </c>
      <c r="J182" s="73">
        <f>IF(Table1[[#This Row],[Column7]]=Table1[[#This Row],[Column9]],1,0)</f>
        <v>0</v>
      </c>
      <c r="K182" s="73">
        <f>IF(Table1[[#This Row],[Column8]]=1,25,"")</f>
        <v>25</v>
      </c>
      <c r="L182" s="73">
        <f>IF(Table1[[#This Row],[Column8]]=1,J182*K182,"")</f>
        <v>0</v>
      </c>
      <c r="M182" s="74" t="str">
        <f>VLOOKUP($B182,'Standards Crosswalk'!$A:$H,3,FALSE)</f>
        <v>CSC 4, CSC 17</v>
      </c>
      <c r="N182" s="74">
        <f>VLOOKUP($B182,'Standards Crosswalk'!$A:$H,4,FALSE)</f>
        <v>0</v>
      </c>
      <c r="O182" s="74" t="str">
        <f>VLOOKUP($B182,'Standards Crosswalk'!$A:$H,5,FALSE)</f>
        <v>14.2.1</v>
      </c>
      <c r="P182" s="74">
        <f>VLOOKUP($B182,'Standards Crosswalk'!$A:$H,6,FALSE)</f>
        <v>0</v>
      </c>
      <c r="Q182" s="74">
        <f>VLOOKUP($B182,'Standards Crosswalk'!$A:$H,7,FALSE)</f>
        <v>0</v>
      </c>
      <c r="R182" s="74" t="str">
        <f>VLOOKUP($B182,'Standards Crosswalk'!$A:$H,8,FALSE)</f>
        <v>CA-5, PM-1</v>
      </c>
      <c r="S182" s="74" t="str">
        <f>VLOOKUP($B182,'Standards Crosswalk'!$A:$I,9,FALSE)</f>
        <v>12.6, 6.5</v>
      </c>
    </row>
    <row r="183" spans="1:19" ht="57.75" thickBot="1" x14ac:dyDescent="0.25">
      <c r="A183" s="73">
        <f t="shared" si="5"/>
        <v>181</v>
      </c>
      <c r="B183" s="79" t="s">
        <v>354</v>
      </c>
      <c r="C183" s="80" t="str">
        <f>VLOOKUP(B183,HECVAT!A:E,2,FALSE)</f>
        <v>Was your application developed using secure coding techniques?</v>
      </c>
      <c r="D183" s="73">
        <f>VLOOKUP(B183,HECVAT!A:E,4,FALSE)</f>
        <v>0</v>
      </c>
      <c r="E183" s="81" t="b">
        <f>IF(Table1[[#This Row],[Column11]]&gt;20,TRUE,FALSE)</f>
        <v>0</v>
      </c>
      <c r="F183" s="81" t="s">
        <v>2058</v>
      </c>
      <c r="G183" s="82" t="s">
        <v>17</v>
      </c>
      <c r="H183" s="83">
        <v>1</v>
      </c>
      <c r="I183" s="73">
        <f>VLOOKUP(B183,HECVAT!A:E,3,FALSE)</f>
        <v>0</v>
      </c>
      <c r="J183" s="73">
        <f>IF(Table1[[#This Row],[Column7]]=Table1[[#This Row],[Column9]],1,0)</f>
        <v>0</v>
      </c>
      <c r="K183" s="73">
        <f>IF(Table1[[#This Row],[Column8]]=1,20,"")</f>
        <v>20</v>
      </c>
      <c r="L183" s="73">
        <f>IF(Table1[[#This Row],[Column8]]=1,J183*K183,"")</f>
        <v>0</v>
      </c>
      <c r="M183" s="74" t="str">
        <f>VLOOKUP($B183,'Standards Crosswalk'!$A:$H,3,FALSE)</f>
        <v>CSC 4</v>
      </c>
      <c r="N183" s="74">
        <f>VLOOKUP($B183,'Standards Crosswalk'!$A:$H,4,FALSE)</f>
        <v>0</v>
      </c>
      <c r="O183" s="74" t="str">
        <f>VLOOKUP($B183,'Standards Crosswalk'!$A:$H,5,FALSE)</f>
        <v>14.2.1</v>
      </c>
      <c r="P183" s="74">
        <f>VLOOKUP($B183,'Standards Crosswalk'!$A:$H,6,FALSE)</f>
        <v>0</v>
      </c>
      <c r="Q183" s="74">
        <f>VLOOKUP($B183,'Standards Crosswalk'!$A:$H,7,FALSE)</f>
        <v>0</v>
      </c>
      <c r="R183" s="74" t="str">
        <f>VLOOKUP($B183,'Standards Crosswalk'!$A:$H,8,FALSE)</f>
        <v>CA-5, PM-1</v>
      </c>
      <c r="S183" s="74">
        <f>VLOOKUP($B183,'Standards Crosswalk'!$A:$I,9,FALSE)</f>
        <v>6.3</v>
      </c>
    </row>
    <row r="184" spans="1:19" ht="57.75" thickBot="1" x14ac:dyDescent="0.25">
      <c r="A184" s="73">
        <f t="shared" si="5"/>
        <v>182</v>
      </c>
      <c r="B184" s="79" t="s">
        <v>355</v>
      </c>
      <c r="C184" s="80" t="str">
        <f>VLOOKUP(B184,HECVAT!A:E,2,FALSE)</f>
        <v>Do you subject your code to static code analysis and/or static application security testing prior to release?</v>
      </c>
      <c r="D184" s="73">
        <f>VLOOKUP(B184,HECVAT!A:E,4,FALSE)</f>
        <v>0</v>
      </c>
      <c r="E184" s="81" t="b">
        <f>IF(Table1[[#This Row],[Column11]]&gt;20,TRUE,FALSE)</f>
        <v>1</v>
      </c>
      <c r="F184" s="81" t="s">
        <v>2058</v>
      </c>
      <c r="G184" s="82" t="s">
        <v>17</v>
      </c>
      <c r="H184" s="83">
        <v>1</v>
      </c>
      <c r="I184" s="73">
        <f>VLOOKUP(B184,HECVAT!A:E,3,FALSE)</f>
        <v>0</v>
      </c>
      <c r="J184" s="73">
        <f>IF(Table1[[#This Row],[Column7]]=Table1[[#This Row],[Column9]],1,0)</f>
        <v>0</v>
      </c>
      <c r="K184" s="73">
        <f>IF(Table1[[#This Row],[Column8]]=1,25,"")</f>
        <v>25</v>
      </c>
      <c r="L184" s="73">
        <f>IF(Table1[[#This Row],[Column8]]=1,J184*K184,"")</f>
        <v>0</v>
      </c>
      <c r="M184" s="74" t="str">
        <f>VLOOKUP($B184,'Standards Crosswalk'!$A:$H,3,FALSE)</f>
        <v>CSC 4</v>
      </c>
      <c r="N184" s="74">
        <f>VLOOKUP($B184,'Standards Crosswalk'!$A:$H,4,FALSE)</f>
        <v>0</v>
      </c>
      <c r="O184" s="74" t="str">
        <f>VLOOKUP($B184,'Standards Crosswalk'!$A:$H,5,FALSE)</f>
        <v>14.2.1, 14.2.5, 14.2.8</v>
      </c>
      <c r="P184" s="74" t="str">
        <f>VLOOKUP($B184,'Standards Crosswalk'!$A:$H,6,FALSE)</f>
        <v>DE.CM-8, RS.MI-3</v>
      </c>
      <c r="Q184" s="74">
        <f>VLOOKUP($B184,'Standards Crosswalk'!$A:$H,7,FALSE)</f>
        <v>0</v>
      </c>
      <c r="R184" s="74" t="str">
        <f>VLOOKUP($B184,'Standards Crosswalk'!$A:$H,8,FALSE)</f>
        <v>CA-5, PM-1</v>
      </c>
      <c r="S184" s="74" t="str">
        <f>VLOOKUP($B184,'Standards Crosswalk'!$A:$I,9,FALSE)</f>
        <v>6.3.2</v>
      </c>
    </row>
    <row r="185" spans="1:19" ht="57.75" thickBot="1" x14ac:dyDescent="0.25">
      <c r="A185" s="73">
        <f t="shared" si="5"/>
        <v>183</v>
      </c>
      <c r="B185" s="79" t="s">
        <v>356</v>
      </c>
      <c r="C185" s="80" t="str">
        <f>VLOOKUP(B185,HECVAT!A:E,2,FALSE)</f>
        <v>Do you have software testing processes (dynamic or static) that are established and followed?</v>
      </c>
      <c r="D185" s="73">
        <f>VLOOKUP(B185,HECVAT!A:E,4,FALSE)</f>
        <v>0</v>
      </c>
      <c r="E185" s="81" t="b">
        <f>IF(Table1[[#This Row],[Column11]]&gt;20,TRUE,FALSE)</f>
        <v>0</v>
      </c>
      <c r="F185" s="81" t="s">
        <v>2058</v>
      </c>
      <c r="G185" s="82" t="s">
        <v>17</v>
      </c>
      <c r="H185" s="83">
        <v>1</v>
      </c>
      <c r="I185" s="73">
        <f>VLOOKUP(B185,HECVAT!A:E,3,FALSE)</f>
        <v>0</v>
      </c>
      <c r="J185" s="73">
        <f>IF(Table1[[#This Row],[Column7]]=Table1[[#This Row],[Column9]],1,0)</f>
        <v>0</v>
      </c>
      <c r="K185" s="73">
        <f>IF(Table1[[#This Row],[Column8]]=1,20,"")</f>
        <v>20</v>
      </c>
      <c r="L185" s="73">
        <f>IF(Table1[[#This Row],[Column8]]=1,J185*K185,"")</f>
        <v>0</v>
      </c>
      <c r="M185" s="74"/>
      <c r="N185" s="74"/>
      <c r="O185" s="74"/>
      <c r="P185" s="74"/>
      <c r="Q185" s="74"/>
      <c r="R185" s="74"/>
      <c r="S185" s="74" t="str">
        <f>VLOOKUP($B185,'Standards Crosswalk'!$A:$I,9,FALSE)</f>
        <v>6.3.2, 6.4.5.3</v>
      </c>
    </row>
    <row r="186" spans="1:19" ht="57.75" thickBot="1" x14ac:dyDescent="0.25">
      <c r="A186" s="73">
        <f t="shared" si="5"/>
        <v>184</v>
      </c>
      <c r="B186" s="79" t="s">
        <v>357</v>
      </c>
      <c r="C186" s="80" t="str">
        <f>VLOOKUP(B186,HECVAT!A:E,2,FALSE)</f>
        <v>Are information security principles designed into the product lifecycle?</v>
      </c>
      <c r="D186" s="73">
        <f>VLOOKUP(B186,HECVAT!A:E,4,FALSE)</f>
        <v>0</v>
      </c>
      <c r="E186" s="81" t="b">
        <f>IF(Table1[[#This Row],[Column11]]&gt;20,TRUE,FALSE)</f>
        <v>0</v>
      </c>
      <c r="F186" s="81" t="s">
        <v>2058</v>
      </c>
      <c r="G186" s="82" t="s">
        <v>17</v>
      </c>
      <c r="H186" s="83">
        <v>1</v>
      </c>
      <c r="I186" s="73">
        <f>VLOOKUP(B186,HECVAT!A:E,3,FALSE)</f>
        <v>0</v>
      </c>
      <c r="J186" s="73">
        <f>IF(Table1[[#This Row],[Column7]]=Table1[[#This Row],[Column9]],1,0)</f>
        <v>0</v>
      </c>
      <c r="K186" s="73">
        <f>IF(Table1[[#This Row],[Column8]]=1,20,"")</f>
        <v>20</v>
      </c>
      <c r="L186" s="73">
        <f>IF(Table1[[#This Row],[Column8]]=1,J186*K186,"")</f>
        <v>0</v>
      </c>
      <c r="M186" s="74" t="str">
        <f>VLOOKUP($B186,'Standards Crosswalk'!$A:$H,3,FALSE)</f>
        <v>CSC 4</v>
      </c>
      <c r="N186" s="74">
        <f>VLOOKUP($B186,'Standards Crosswalk'!$A:$H,4,FALSE)</f>
        <v>0</v>
      </c>
      <c r="O186" s="74" t="str">
        <f>VLOOKUP($B186,'Standards Crosswalk'!$A:$H,5,FALSE)</f>
        <v>14.2.1</v>
      </c>
      <c r="P186" s="74">
        <f>VLOOKUP($B186,'Standards Crosswalk'!$A:$H,6,FALSE)</f>
        <v>0</v>
      </c>
      <c r="Q186" s="74" t="str">
        <f>VLOOKUP($B186,'Standards Crosswalk'!$A:$H,7,FALSE)</f>
        <v>3.13.2</v>
      </c>
      <c r="R186" s="74" t="str">
        <f>VLOOKUP($B186,'Standards Crosswalk'!$A:$H,8,FALSE)</f>
        <v>CA-5, PM-1</v>
      </c>
      <c r="S186" s="74" t="str">
        <f>VLOOKUP($B186,'Standards Crosswalk'!$A:$I,9,FALSE)</f>
        <v>6.3, 6.3.1</v>
      </c>
    </row>
    <row r="187" spans="1:19" ht="57.75" thickBot="1" x14ac:dyDescent="0.25">
      <c r="A187" s="73">
        <f t="shared" si="5"/>
        <v>185</v>
      </c>
      <c r="B187" s="79" t="s">
        <v>358</v>
      </c>
      <c r="C187" s="80" t="str">
        <f>VLOOKUP(B187,HECVAT!A:E,2,FALSE)</f>
        <v>Do you have a documented systems development life cycle (SDLC)?</v>
      </c>
      <c r="D187" s="73">
        <f>VLOOKUP(B187,HECVAT!A:E,4,FALSE)</f>
        <v>0</v>
      </c>
      <c r="E187" s="81" t="b">
        <f>IF(Table1[[#This Row],[Column11]]&gt;20,TRUE,FALSE)</f>
        <v>0</v>
      </c>
      <c r="F187" s="81" t="s">
        <v>2058</v>
      </c>
      <c r="G187" s="82" t="s">
        <v>17</v>
      </c>
      <c r="H187" s="83">
        <v>1</v>
      </c>
      <c r="I187" s="73">
        <f>VLOOKUP(B187,HECVAT!A:E,3,FALSE)</f>
        <v>0</v>
      </c>
      <c r="J187" s="73">
        <f>IF(Table1[[#This Row],[Column7]]=Table1[[#This Row],[Column9]],1,0)</f>
        <v>0</v>
      </c>
      <c r="K187" s="73">
        <f>IF(Table1[[#This Row],[Column8]]=1,20,"")</f>
        <v>20</v>
      </c>
      <c r="L187" s="73">
        <f>IF(Table1[[#This Row],[Column8]]=1,J187*K187,"")</f>
        <v>0</v>
      </c>
      <c r="M187" s="74" t="str">
        <f>VLOOKUP($B187,'Standards Crosswalk'!$A:$H,3,FALSE)</f>
        <v>CSC 4</v>
      </c>
      <c r="N187" s="74">
        <f>VLOOKUP($B187,'Standards Crosswalk'!$A:$H,4,FALSE)</f>
        <v>0</v>
      </c>
      <c r="O187" s="74" t="str">
        <f>VLOOKUP($B187,'Standards Crosswalk'!$A:$H,5,FALSE)</f>
        <v>14.2.1</v>
      </c>
      <c r="P187" s="74" t="str">
        <f>VLOOKUP($B187,'Standards Crosswalk'!$A:$H,6,FALSE)</f>
        <v>PR.IP-2</v>
      </c>
      <c r="Q187" s="74">
        <f>VLOOKUP($B187,'Standards Crosswalk'!$A:$H,7,FALSE)</f>
        <v>0</v>
      </c>
      <c r="R187" s="74" t="str">
        <f>VLOOKUP($B187,'Standards Crosswalk'!$A:$H,8,FALSE)</f>
        <v>CM-3, SA-15, SA-3, SA-8, SC-2, CA-5, PM-1</v>
      </c>
      <c r="S187" s="74" t="str">
        <f>VLOOKUP($B187,'Standards Crosswalk'!$A:$I,9,FALSE)</f>
        <v>6.3.2</v>
      </c>
    </row>
    <row r="188" spans="1:19" ht="57.75" thickBot="1" x14ac:dyDescent="0.25">
      <c r="A188" s="73">
        <f t="shared" si="5"/>
        <v>186</v>
      </c>
      <c r="B188" s="97" t="s">
        <v>359</v>
      </c>
      <c r="C188" s="80" t="str">
        <f>VLOOKUP(B188,HECVAT!A:E,2,FALSE)</f>
        <v>Do you have a formal incident response plan?</v>
      </c>
      <c r="D188" s="73">
        <f>VLOOKUP(B188,HECVAT!A:E,4,FALSE)</f>
        <v>0</v>
      </c>
      <c r="E188" s="81" t="b">
        <f>IF(Table1[[#This Row],[Column11]]&gt;20,TRUE,FALSE)</f>
        <v>1</v>
      </c>
      <c r="F188" s="81" t="s">
        <v>2058</v>
      </c>
      <c r="G188" s="82" t="s">
        <v>17</v>
      </c>
      <c r="H188" s="83">
        <v>1</v>
      </c>
      <c r="I188" s="73">
        <f>VLOOKUP(B188,HECVAT!A:E,3,FALSE)</f>
        <v>0</v>
      </c>
      <c r="J188" s="73">
        <f>IF(Table1[[#This Row],[Column7]]=Table1[[#This Row],[Column9]],1,0)</f>
        <v>0</v>
      </c>
      <c r="K188" s="73">
        <f>IF(Table1[[#This Row],[Column8]]=1,25,"")</f>
        <v>25</v>
      </c>
      <c r="L188" s="73">
        <f>IF(Table1[[#This Row],[Column8]]=1,J188*K188,"")</f>
        <v>0</v>
      </c>
      <c r="M188" s="74" t="str">
        <f>VLOOKUP($B188,'Standards Crosswalk'!$A:$H,3,FALSE)</f>
        <v>CSC 19</v>
      </c>
      <c r="N188" s="74">
        <f>VLOOKUP($B188,'Standards Crosswalk'!$A:$H,4,FALSE)</f>
        <v>0</v>
      </c>
      <c r="O188" s="74" t="str">
        <f>VLOOKUP($B188,'Standards Crosswalk'!$A:$H,5,FALSE)</f>
        <v>16.1.5</v>
      </c>
      <c r="P188" s="74" t="str">
        <f>VLOOKUP($B188,'Standards Crosswalk'!$A:$H,6,FALSE)</f>
        <v>PR.IP-9</v>
      </c>
      <c r="Q188" s="74" t="str">
        <f>VLOOKUP($B188,'Standards Crosswalk'!$A:$H,7,FALSE)</f>
        <v>3.6.1, 3.12.2</v>
      </c>
      <c r="R188" s="74" t="str">
        <f>VLOOKUP($B188,'Standards Crosswalk'!$A:$H,8,FALSE)</f>
        <v>CA-5, PM-1, IR-4, IR-5, IR-7, IR-8</v>
      </c>
      <c r="S188" s="74" t="str">
        <f>VLOOKUP($B188,'Standards Crosswalk'!$A:$I,9,FALSE)</f>
        <v>12.10, 12.8, 12.9</v>
      </c>
    </row>
    <row r="189" spans="1:19" ht="57.75" thickBot="1" x14ac:dyDescent="0.25">
      <c r="A189" s="73">
        <f t="shared" si="5"/>
        <v>187</v>
      </c>
      <c r="B189" s="97" t="s">
        <v>360</v>
      </c>
      <c r="C189" s="80" t="str">
        <f>VLOOKUP(B189,HECVAT!A:E,2,FALSE)</f>
        <v>Will you comply with applicable breach notification laws?</v>
      </c>
      <c r="D189" s="73">
        <f>VLOOKUP(B189,HECVAT!A:E,4,FALSE)</f>
        <v>0</v>
      </c>
      <c r="E189" s="81" t="b">
        <f>IF(Table1[[#This Row],[Column11]]&gt;20,TRUE,FALSE)</f>
        <v>1</v>
      </c>
      <c r="F189" s="81" t="s">
        <v>2058</v>
      </c>
      <c r="G189" s="82" t="s">
        <v>17</v>
      </c>
      <c r="H189" s="83">
        <v>1</v>
      </c>
      <c r="I189" s="73">
        <f>VLOOKUP(B189,HECVAT!A:E,3,FALSE)</f>
        <v>0</v>
      </c>
      <c r="J189" s="73">
        <f>IF(Table1[[#This Row],[Column7]]=Table1[[#This Row],[Column9]],1,0)</f>
        <v>0</v>
      </c>
      <c r="K189" s="73">
        <f>IF(Table1[[#This Row],[Column8]]=1,25,"")</f>
        <v>25</v>
      </c>
      <c r="L189" s="73">
        <f>IF(Table1[[#This Row],[Column8]]=1,J189*K189,"")</f>
        <v>0</v>
      </c>
      <c r="M189" s="74" t="str">
        <f>VLOOKUP($B189,'Standards Crosswalk'!$A:$H,3,FALSE)</f>
        <v>CSC 19</v>
      </c>
      <c r="N189" s="74">
        <f>VLOOKUP($B189,'Standards Crosswalk'!$A:$H,4,FALSE)</f>
        <v>0</v>
      </c>
      <c r="O189" s="74" t="str">
        <f>VLOOKUP($B189,'Standards Crosswalk'!$A:$H,5,FALSE)</f>
        <v>18.1.1</v>
      </c>
      <c r="P189" s="74" t="str">
        <f>VLOOKUP($B189,'Standards Crosswalk'!$A:$H,6,FALSE)</f>
        <v>ID.GV-3</v>
      </c>
      <c r="Q189" s="74" t="str">
        <f>VLOOKUP($B189,'Standards Crosswalk'!$A:$H,7,FALSE)</f>
        <v>3.6.2,</v>
      </c>
      <c r="R189" s="74" t="str">
        <f>VLOOKUP($B189,'Standards Crosswalk'!$A:$H,8,FALSE)</f>
        <v>CA-5, PM-1, IR-4, IR-5, IR-6, IR-7, IR-8</v>
      </c>
      <c r="S189" s="74">
        <f>VLOOKUP($B189,'Standards Crosswalk'!$A:$I,9,FALSE)</f>
        <v>12.8</v>
      </c>
    </row>
    <row r="190" spans="1:19" ht="57.75" thickBot="1" x14ac:dyDescent="0.25">
      <c r="A190" s="73">
        <f t="shared" si="5"/>
        <v>188</v>
      </c>
      <c r="B190" s="97" t="s">
        <v>361</v>
      </c>
      <c r="C190" s="80" t="str">
        <f>VLOOKUP(B190,HECVAT!A:E,2,FALSE)</f>
        <v>Will you comply with the Institution's IT policies with regards to user privacy and data protection?</v>
      </c>
      <c r="D190" s="73">
        <f>VLOOKUP(B190,HECVAT!A:E,4,FALSE)</f>
        <v>0</v>
      </c>
      <c r="E190" s="81" t="b">
        <f>IF(Table1[[#This Row],[Column11]]&gt;20,TRUE,FALSE)</f>
        <v>0</v>
      </c>
      <c r="F190" s="81" t="s">
        <v>2058</v>
      </c>
      <c r="G190" s="82" t="s">
        <v>17</v>
      </c>
      <c r="H190" s="83">
        <v>1</v>
      </c>
      <c r="I190" s="73">
        <f>VLOOKUP(B190,HECVAT!A:E,3,FALSE)</f>
        <v>0</v>
      </c>
      <c r="J190" s="73">
        <f>IF(Table1[[#This Row],[Column7]]=Table1[[#This Row],[Column9]],1,0)</f>
        <v>0</v>
      </c>
      <c r="K190" s="73">
        <f>IF(Table1[[#This Row],[Column8]]=1,15,"")</f>
        <v>15</v>
      </c>
      <c r="L190" s="73">
        <f>IF(Table1[[#This Row],[Column8]]=1,J190*K190,"")</f>
        <v>0</v>
      </c>
      <c r="M190" s="74" t="str">
        <f>VLOOKUP($B190,'Standards Crosswalk'!$A:$H,3,FALSE)</f>
        <v>CSC 13</v>
      </c>
      <c r="N190" s="74">
        <f>VLOOKUP($B190,'Standards Crosswalk'!$A:$H,4,FALSE)</f>
        <v>0</v>
      </c>
      <c r="O190" s="74" t="str">
        <f>VLOOKUP($B190,'Standards Crosswalk'!$A:$H,5,FALSE)</f>
        <v>18.1.1</v>
      </c>
      <c r="P190" s="74">
        <f>VLOOKUP($B190,'Standards Crosswalk'!$A:$H,6,FALSE)</f>
        <v>0</v>
      </c>
      <c r="Q190" s="74" t="str">
        <f>VLOOKUP($B190,'Standards Crosswalk'!$A:$H,7,FALSE)</f>
        <v>3.6.2</v>
      </c>
      <c r="R190" s="74" t="str">
        <f>VLOOKUP($B190,'Standards Crosswalk'!$A:$H,8,FALSE)</f>
        <v>CA-2, SA-15, CA-5, PM-1, IR-4, IR-5, IR-6, R-7, IR-8</v>
      </c>
      <c r="S190" s="74">
        <f>VLOOKUP($B190,'Standards Crosswalk'!$A:$I,9,FALSE)</f>
        <v>12.8</v>
      </c>
    </row>
    <row r="191" spans="1:19" ht="57.75" thickBot="1" x14ac:dyDescent="0.25">
      <c r="A191" s="73">
        <f t="shared" si="5"/>
        <v>189</v>
      </c>
      <c r="B191" s="97" t="s">
        <v>362</v>
      </c>
      <c r="C191" s="80" t="str">
        <f>VLOOKUP(B191,HECVAT!A:E,2,FALSE)</f>
        <v>Is your company subject to Institution's Data Zone laws and regulations?</v>
      </c>
      <c r="D191" s="73">
        <f>VLOOKUP(B191,HECVAT!A:E,4,FALSE)</f>
        <v>0</v>
      </c>
      <c r="E191" s="81" t="b">
        <f>IF(Table1[[#This Row],[Column11]]&gt;20,TRUE,FALSE)</f>
        <v>0</v>
      </c>
      <c r="F191" s="81" t="s">
        <v>2058</v>
      </c>
      <c r="G191" s="82" t="s">
        <v>17</v>
      </c>
      <c r="H191" s="83">
        <v>1</v>
      </c>
      <c r="I191" s="73">
        <f>VLOOKUP(B191,HECVAT!A:E,3,FALSE)</f>
        <v>0</v>
      </c>
      <c r="J191" s="73">
        <f>IF(Table1[[#This Row],[Column7]]=Table1[[#This Row],[Column9]],1,0)</f>
        <v>0</v>
      </c>
      <c r="K191" s="73">
        <f>IF(Table1[[#This Row],[Column8]]=1,20,"")</f>
        <v>20</v>
      </c>
      <c r="L191" s="73">
        <f>IF(Table1[[#This Row],[Column8]]=1,J191*K191,"")</f>
        <v>0</v>
      </c>
      <c r="M191" s="74" t="str">
        <f>VLOOKUP($B191,'Standards Crosswalk'!$A:$H,3,FALSE)</f>
        <v>CSC 19</v>
      </c>
      <c r="N191" s="74">
        <f>VLOOKUP($B191,'Standards Crosswalk'!$A:$H,4,FALSE)</f>
        <v>0</v>
      </c>
      <c r="O191" s="74" t="str">
        <f>VLOOKUP($B191,'Standards Crosswalk'!$A:$H,5,FALSE)</f>
        <v>18.1.1</v>
      </c>
      <c r="P191" s="74" t="str">
        <f>VLOOKUP($B191,'Standards Crosswalk'!$A:$H,6,FALSE)</f>
        <v>ID.GV-3</v>
      </c>
      <c r="Q191" s="74">
        <f>VLOOKUP($B191,'Standards Crosswalk'!$A:$H,7,FALSE)</f>
        <v>0</v>
      </c>
      <c r="R191" s="74" t="str">
        <f>VLOOKUP($B191,'Standards Crosswalk'!$A:$H,8,FALSE)</f>
        <v>CA-5, PM-1</v>
      </c>
      <c r="S191" s="74">
        <f>VLOOKUP($B191,'Standards Crosswalk'!$A:$I,9,FALSE)</f>
        <v>0</v>
      </c>
    </row>
    <row r="192" spans="1:19" ht="72" thickBot="1" x14ac:dyDescent="0.25">
      <c r="A192" s="73">
        <f t="shared" si="5"/>
        <v>190</v>
      </c>
      <c r="B192" s="97" t="s">
        <v>363</v>
      </c>
      <c r="C192" s="80" t="str">
        <f>VLOOKUP(B192,HECVAT!A:E,2,FALSE)</f>
        <v>Do you perform background screenings or multi-state background checks on all employees prior to their first day of work?</v>
      </c>
      <c r="D192" s="73">
        <f>VLOOKUP(B192,HECVAT!A:E,4,FALSE)</f>
        <v>0</v>
      </c>
      <c r="E192" s="81" t="b">
        <f>IF(Table1[[#This Row],[Column11]]&gt;20,TRUE,FALSE)</f>
        <v>0</v>
      </c>
      <c r="F192" s="81" t="s">
        <v>2058</v>
      </c>
      <c r="G192" s="82" t="s">
        <v>17</v>
      </c>
      <c r="H192" s="83">
        <v>1</v>
      </c>
      <c r="I192" s="73">
        <f>VLOOKUP(B192,HECVAT!A:E,3,FALSE)</f>
        <v>0</v>
      </c>
      <c r="J192" s="73">
        <f>IF(Table1[[#This Row],[Column7]]=Table1[[#This Row],[Column9]],1,0)</f>
        <v>0</v>
      </c>
      <c r="K192" s="73">
        <f>IF(Table1[[#This Row],[Column8]]=1,15,"")</f>
        <v>15</v>
      </c>
      <c r="L192" s="73">
        <f>IF(Table1[[#This Row],[Column8]]=1,J192*K192,"")</f>
        <v>0</v>
      </c>
      <c r="M192" s="74" t="str">
        <f>VLOOKUP($B192,'Standards Crosswalk'!$A:$H,3,FALSE)</f>
        <v>CSC 5</v>
      </c>
      <c r="N192" s="74">
        <f>VLOOKUP($B192,'Standards Crosswalk'!$A:$H,4,FALSE)</f>
        <v>0</v>
      </c>
      <c r="O192" s="74" t="str">
        <f>VLOOKUP($B192,'Standards Crosswalk'!$A:$H,5,FALSE)</f>
        <v>7.1.1</v>
      </c>
      <c r="P192" s="74" t="str">
        <f>VLOOKUP($B192,'Standards Crosswalk'!$A:$H,6,FALSE)</f>
        <v>PR.IP-11</v>
      </c>
      <c r="Q192" s="74" t="str">
        <f>VLOOKUP($B192,'Standards Crosswalk'!$A:$H,7,FALSE)</f>
        <v>3.9.1</v>
      </c>
      <c r="R192" s="74" t="str">
        <f>VLOOKUP($B192,'Standards Crosswalk'!$A:$H,8,FALSE)</f>
        <v>CA-5, PM-1, PS-3</v>
      </c>
      <c r="S192" s="74">
        <f>VLOOKUP($B192,'Standards Crosswalk'!$A:$I,9,FALSE)</f>
        <v>12.7</v>
      </c>
    </row>
    <row r="193" spans="1:19" ht="57.75" thickBot="1" x14ac:dyDescent="0.25">
      <c r="A193" s="73">
        <f t="shared" si="5"/>
        <v>191</v>
      </c>
      <c r="B193" s="97" t="s">
        <v>364</v>
      </c>
      <c r="C193" s="80" t="str">
        <f>VLOOKUP(B193,HECVAT!A:E,2,FALSE)</f>
        <v xml:space="preserve">Do you require new employees to fill out agreements and review policies?  </v>
      </c>
      <c r="D193" s="73">
        <f>VLOOKUP(B193,HECVAT!A:E,4,FALSE)</f>
        <v>0</v>
      </c>
      <c r="E193" s="81" t="b">
        <f>IF(Table1[[#This Row],[Column11]]&gt;20,TRUE,FALSE)</f>
        <v>0</v>
      </c>
      <c r="F193" s="81" t="s">
        <v>2058</v>
      </c>
      <c r="G193" s="82" t="s">
        <v>17</v>
      </c>
      <c r="H193" s="83">
        <v>1</v>
      </c>
      <c r="I193" s="73">
        <f>VLOOKUP(B193,HECVAT!A:E,3,FALSE)</f>
        <v>0</v>
      </c>
      <c r="J193" s="73">
        <f>IF(Table1[[#This Row],[Column7]]=Table1[[#This Row],[Column9]],1,0)</f>
        <v>0</v>
      </c>
      <c r="K193" s="73">
        <f>IF(Table1[[#This Row],[Column8]]=1,15,"")</f>
        <v>15</v>
      </c>
      <c r="L193" s="73">
        <f>IF(Table1[[#This Row],[Column8]]=1,J193*K193,"")</f>
        <v>0</v>
      </c>
      <c r="M193" s="74" t="str">
        <f>VLOOKUP($B193,'Standards Crosswalk'!$A:$H,3,FALSE)</f>
        <v>CSC 17</v>
      </c>
      <c r="N193" s="74">
        <f>VLOOKUP($B193,'Standards Crosswalk'!$A:$H,4,FALSE)</f>
        <v>0</v>
      </c>
      <c r="O193" s="74" t="str">
        <f>VLOOKUP($B193,'Standards Crosswalk'!$A:$H,5,FALSE)</f>
        <v>7.1.2</v>
      </c>
      <c r="P193" s="74" t="str">
        <f>VLOOKUP($B193,'Standards Crosswalk'!$A:$H,6,FALSE)</f>
        <v>PR.IP-11</v>
      </c>
      <c r="Q193" s="74">
        <f>VLOOKUP($B193,'Standards Crosswalk'!$A:$H,7,FALSE)</f>
        <v>0</v>
      </c>
      <c r="R193" s="74" t="str">
        <f>VLOOKUP($B193,'Standards Crosswalk'!$A:$H,8,FALSE)</f>
        <v>CA-5, PM-1</v>
      </c>
      <c r="S193" s="74" t="str">
        <f>VLOOKUP($B193,'Standards Crosswalk'!$A:$I,9,FALSE)</f>
        <v>12.6, 7.x, 8.x, 9.x</v>
      </c>
    </row>
    <row r="194" spans="1:19" ht="57.75" thickBot="1" x14ac:dyDescent="0.25">
      <c r="A194" s="73">
        <f t="shared" si="5"/>
        <v>192</v>
      </c>
      <c r="B194" s="97" t="s">
        <v>365</v>
      </c>
      <c r="C194" s="80" t="str">
        <f>VLOOKUP(B194,HECVAT!A:E,2,FALSE)</f>
        <v>Do you have documented information security policy?</v>
      </c>
      <c r="D194" s="73">
        <f>VLOOKUP(B194,HECVAT!A:E,4,FALSE)</f>
        <v>0</v>
      </c>
      <c r="E194" s="81" t="b">
        <f>IF(Table1[[#This Row],[Column11]]&gt;20,TRUE,FALSE)</f>
        <v>1</v>
      </c>
      <c r="F194" s="81" t="s">
        <v>2058</v>
      </c>
      <c r="G194" s="82" t="s">
        <v>17</v>
      </c>
      <c r="H194" s="83">
        <v>1</v>
      </c>
      <c r="I194" s="73">
        <f>VLOOKUP(B194,HECVAT!A:E,3,FALSE)</f>
        <v>0</v>
      </c>
      <c r="J194" s="73">
        <f>IF(Table1[[#This Row],[Column7]]=Table1[[#This Row],[Column9]],1,0)</f>
        <v>0</v>
      </c>
      <c r="K194" s="73">
        <f>IF(Table1[[#This Row],[Column8]]=1,25,"")</f>
        <v>25</v>
      </c>
      <c r="L194" s="73">
        <f>IF(Table1[[#This Row],[Column8]]=1,J194*K194,"")</f>
        <v>0</v>
      </c>
      <c r="M194" s="74" t="str">
        <f>VLOOKUP($B194,'Standards Crosswalk'!$A:$H,3,FALSE)</f>
        <v>CSC 17</v>
      </c>
      <c r="N194" s="74" t="str">
        <f>VLOOKUP($B194,'Standards Crosswalk'!$A:$H,4,FALSE)</f>
        <v>§164.308(a)(1)(i)</v>
      </c>
      <c r="O194" s="74" t="str">
        <f>VLOOKUP($B194,'Standards Crosswalk'!$A:$H,5,FALSE)</f>
        <v>5.1.1</v>
      </c>
      <c r="P194" s="74" t="str">
        <f>VLOOKUP($B194,'Standards Crosswalk'!$A:$H,6,FALSE)</f>
        <v>ID.GV-3</v>
      </c>
      <c r="Q194" s="74">
        <f>VLOOKUP($B194,'Standards Crosswalk'!$A:$H,7,FALSE)</f>
        <v>0</v>
      </c>
      <c r="R194" s="74" t="str">
        <f>VLOOKUP($B194,'Standards Crosswalk'!$A:$H,8,FALSE)</f>
        <v>CA-5, PM-1</v>
      </c>
      <c r="S194" s="74" t="str">
        <f>VLOOKUP($B194,'Standards Crosswalk'!$A:$I,9,FALSE)</f>
        <v>12.1, 5.4 (?)</v>
      </c>
    </row>
    <row r="195" spans="1:19" ht="57.75" thickBot="1" x14ac:dyDescent="0.25">
      <c r="A195" s="73">
        <f t="shared" si="5"/>
        <v>193</v>
      </c>
      <c r="B195" s="97" t="s">
        <v>366</v>
      </c>
      <c r="C195" s="80" t="str">
        <f>VLOOKUP(B195,HECVAT!A:E,2,FALSE)</f>
        <v>Do you have an information security awareness program?</v>
      </c>
      <c r="D195" s="73">
        <f>VLOOKUP(B195,HECVAT!A:E,4,FALSE)</f>
        <v>0</v>
      </c>
      <c r="E195" s="81" t="b">
        <f>IF(Table1[[#This Row],[Column11]]&gt;20,TRUE,FALSE)</f>
        <v>1</v>
      </c>
      <c r="F195" s="81" t="s">
        <v>2058</v>
      </c>
      <c r="G195" s="82" t="s">
        <v>17</v>
      </c>
      <c r="H195" s="83">
        <v>1</v>
      </c>
      <c r="I195" s="73">
        <f>VLOOKUP(B195,HECVAT!A:E,3,FALSE)</f>
        <v>0</v>
      </c>
      <c r="J195" s="73">
        <f>IF(Table1[[#This Row],[Column7]]=Table1[[#This Row],[Column9]],1,0)</f>
        <v>0</v>
      </c>
      <c r="K195" s="73">
        <f>IF(Table1[[#This Row],[Column8]]=1,25,"")</f>
        <v>25</v>
      </c>
      <c r="L195" s="73">
        <f>IF(Table1[[#This Row],[Column8]]=1,J195*K195,"")</f>
        <v>0</v>
      </c>
      <c r="M195" s="74" t="str">
        <f>VLOOKUP($B195,'Standards Crosswalk'!$A:$H,3,FALSE)</f>
        <v>CSC 17</v>
      </c>
      <c r="N195" s="74" t="str">
        <f>VLOOKUP($B195,'Standards Crosswalk'!$A:$H,4,FALSE)</f>
        <v>§164.308(a)(5)(i)</v>
      </c>
      <c r="O195" s="74" t="str">
        <f>VLOOKUP($B195,'Standards Crosswalk'!$A:$H,5,FALSE)</f>
        <v>7.2.2</v>
      </c>
      <c r="P195" s="74" t="str">
        <f>VLOOKUP($B195,'Standards Crosswalk'!$A:$H,6,FALSE)</f>
        <v>PR.AT-1</v>
      </c>
      <c r="Q195" s="74" t="str">
        <f>VLOOKUP($B195,'Standards Crosswalk'!$A:$H,7,FALSE)</f>
        <v>3.2.1</v>
      </c>
      <c r="R195" s="74" t="str">
        <f>VLOOKUP($B195,'Standards Crosswalk'!$A:$H,8,FALSE)</f>
        <v>AT-2, CA-5, PM-1</v>
      </c>
      <c r="S195" s="74">
        <f>VLOOKUP($B195,'Standards Crosswalk'!$A:$I,9,FALSE)</f>
        <v>12.6</v>
      </c>
    </row>
    <row r="196" spans="1:19" ht="57.75" thickBot="1" x14ac:dyDescent="0.25">
      <c r="A196" s="73">
        <f t="shared" ref="A196:A259" si="6">A195+1</f>
        <v>194</v>
      </c>
      <c r="B196" s="97" t="s">
        <v>367</v>
      </c>
      <c r="C196" s="80" t="str">
        <f>VLOOKUP(B196,HECVAT!A:E,2,FALSE)</f>
        <v>Is security awareness training mandatory for all employees?</v>
      </c>
      <c r="D196" s="73">
        <f>VLOOKUP(B196,HECVAT!A:E,4,FALSE)</f>
        <v>0</v>
      </c>
      <c r="E196" s="81" t="b">
        <f>IF(Table1[[#This Row],[Column11]]&gt;20,TRUE,FALSE)</f>
        <v>0</v>
      </c>
      <c r="F196" s="81" t="s">
        <v>2058</v>
      </c>
      <c r="G196" s="82" t="s">
        <v>17</v>
      </c>
      <c r="H196" s="83">
        <v>1</v>
      </c>
      <c r="I196" s="73">
        <f>VLOOKUP(B196,HECVAT!A:E,3,FALSE)</f>
        <v>0</v>
      </c>
      <c r="J196" s="73">
        <f>IF(Table1[[#This Row],[Column7]]=Table1[[#This Row],[Column9]],1,0)</f>
        <v>0</v>
      </c>
      <c r="K196" s="73">
        <f>IF(Table1[[#This Row],[Column8]]=1,20,"")</f>
        <v>20</v>
      </c>
      <c r="L196" s="73">
        <f>IF(Table1[[#This Row],[Column8]]=1,J196*K196,"")</f>
        <v>0</v>
      </c>
      <c r="M196" s="74" t="str">
        <f>VLOOKUP($B196,'Standards Crosswalk'!$A:$H,3,FALSE)</f>
        <v>CSC 17</v>
      </c>
      <c r="N196" s="74" t="str">
        <f>VLOOKUP($B196,'Standards Crosswalk'!$A:$H,4,FALSE)</f>
        <v>§164.308(a)(5)(i)</v>
      </c>
      <c r="O196" s="74" t="str">
        <f>VLOOKUP($B196,'Standards Crosswalk'!$A:$H,5,FALSE)</f>
        <v>7.2.2</v>
      </c>
      <c r="P196" s="74" t="str">
        <f>VLOOKUP($B196,'Standards Crosswalk'!$A:$H,6,FALSE)</f>
        <v>PR.AT-1</v>
      </c>
      <c r="Q196" s="74" t="str">
        <f>VLOOKUP($B196,'Standards Crosswalk'!$A:$H,7,FALSE)</f>
        <v>3.2.1, 3.2.2, 3.2.3</v>
      </c>
      <c r="R196" s="74" t="str">
        <f>VLOOKUP($B196,'Standards Crosswalk'!$A:$H,8,FALSE)</f>
        <v>AT-2, AT-3, CA-5, PM-1</v>
      </c>
      <c r="S196" s="74">
        <f>VLOOKUP($B196,'Standards Crosswalk'!$A:$I,9,FALSE)</f>
        <v>12.6</v>
      </c>
    </row>
    <row r="197" spans="1:19" ht="72" thickBot="1" x14ac:dyDescent="0.25">
      <c r="A197" s="73">
        <f t="shared" si="6"/>
        <v>195</v>
      </c>
      <c r="B197" s="97" t="s">
        <v>368</v>
      </c>
      <c r="C197" s="80" t="str">
        <f>VLOOKUP(B197,HECVAT!A:E,2,FALSE)</f>
        <v>Do you have process and procedure(s) documented, and currently followed, that require a review and update of the access-list(s) for privileged accounts?</v>
      </c>
      <c r="D197" s="73">
        <f>VLOOKUP(B197,HECVAT!A:E,4,FALSE)</f>
        <v>0</v>
      </c>
      <c r="E197" s="81" t="b">
        <f>IF(Table1[[#This Row],[Column11]]&gt;20,TRUE,FALSE)</f>
        <v>0</v>
      </c>
      <c r="F197" s="81" t="s">
        <v>2058</v>
      </c>
      <c r="G197" s="82" t="s">
        <v>17</v>
      </c>
      <c r="H197" s="83">
        <v>1</v>
      </c>
      <c r="I197" s="73">
        <f>VLOOKUP(B197,HECVAT!A:E,3,FALSE)</f>
        <v>0</v>
      </c>
      <c r="J197" s="73">
        <f>IF(Table1[[#This Row],[Column7]]=Table1[[#This Row],[Column9]],1,0)</f>
        <v>0</v>
      </c>
      <c r="K197" s="73">
        <f>IF(Table1[[#This Row],[Column8]]=1,20,"")</f>
        <v>20</v>
      </c>
      <c r="L197" s="73">
        <f>IF(Table1[[#This Row],[Column8]]=1,J197*K197,"")</f>
        <v>0</v>
      </c>
      <c r="M197" s="74" t="str">
        <f>VLOOKUP($B197,'Standards Crosswalk'!$A:$H,3,FALSE)</f>
        <v>CSC 17</v>
      </c>
      <c r="N197" s="74">
        <f>VLOOKUP($B197,'Standards Crosswalk'!$A:$H,4,FALSE)</f>
        <v>0</v>
      </c>
      <c r="O197" s="74" t="str">
        <f>VLOOKUP($B197,'Standards Crosswalk'!$A:$H,5,FALSE)</f>
        <v>9.2.5</v>
      </c>
      <c r="P197" s="74" t="str">
        <f>VLOOKUP($B197,'Standards Crosswalk'!$A:$H,6,FALSE)</f>
        <v>PR.AC-4, PR.PT-3</v>
      </c>
      <c r="Q197" s="74" t="str">
        <f>VLOOKUP($B197,'Standards Crosswalk'!$A:$H,7,FALSE)</f>
        <v>3.1.7</v>
      </c>
      <c r="R197" s="74" t="str">
        <f>VLOOKUP($B197,'Standards Crosswalk'!$A:$H,8,FALSE)</f>
        <v>CA-5, PM-1</v>
      </c>
      <c r="S197" s="74" t="str">
        <f>VLOOKUP($B197,'Standards Crosswalk'!$A:$I,9,FALSE)</f>
        <v>12.1, 12.5, 12.6</v>
      </c>
    </row>
    <row r="198" spans="1:19" ht="93.75" customHeight="1" thickBot="1" x14ac:dyDescent="0.25">
      <c r="A198" s="73">
        <f t="shared" si="6"/>
        <v>196</v>
      </c>
      <c r="B198" s="97" t="s">
        <v>369</v>
      </c>
      <c r="C198" s="80" t="str">
        <f>VLOOKUP(B198,HECVAT!A:E,2,FALSE)</f>
        <v>Do you have documented, and currently implemented, internal audit processes and procedures?</v>
      </c>
      <c r="D198" s="73">
        <f>VLOOKUP(B198,HECVAT!A:E,4,FALSE)</f>
        <v>0</v>
      </c>
      <c r="E198" s="81" t="b">
        <f>IF(Table1[[#This Row],[Column11]]&gt;20,TRUE,FALSE)</f>
        <v>0</v>
      </c>
      <c r="F198" s="81" t="s">
        <v>2058</v>
      </c>
      <c r="G198" s="82" t="s">
        <v>17</v>
      </c>
      <c r="H198" s="83">
        <v>1</v>
      </c>
      <c r="I198" s="73">
        <f>VLOOKUP(B198,HECVAT!A:E,3,FALSE)</f>
        <v>0</v>
      </c>
      <c r="J198" s="73">
        <f>IF(Table1[[#This Row],[Column7]]=Table1[[#This Row],[Column9]],1,0)</f>
        <v>0</v>
      </c>
      <c r="K198" s="73">
        <f>IF(Table1[[#This Row],[Column8]]=1,20,"")</f>
        <v>20</v>
      </c>
      <c r="L198" s="73">
        <f>IF(Table1[[#This Row],[Column8]]=1,J198*K198,"")</f>
        <v>0</v>
      </c>
      <c r="M198" s="74">
        <f>VLOOKUP($B198,'Standards Crosswalk'!$A:$H,3,FALSE)</f>
        <v>0</v>
      </c>
      <c r="N198" s="74">
        <f>VLOOKUP($B198,'Standards Crosswalk'!$A:$H,4,FALSE)</f>
        <v>0</v>
      </c>
      <c r="O198" s="74" t="str">
        <f>VLOOKUP($B198,'Standards Crosswalk'!$A:$H,5,FALSE)</f>
        <v>12.7.1</v>
      </c>
      <c r="P198" s="74">
        <f>VLOOKUP($B198,'Standards Crosswalk'!$A:$H,6,FALSE)</f>
        <v>0</v>
      </c>
      <c r="Q198" s="74">
        <f>VLOOKUP($B198,'Standards Crosswalk'!$A:$H,7,FALSE)</f>
        <v>0</v>
      </c>
      <c r="R198" s="74" t="str">
        <f>VLOOKUP($B198,'Standards Crosswalk'!$A:$H,8,FALSE)</f>
        <v>CA-5, PM-1, PS-4, PS-5, PE-2, PE-3, PE-5, AC-6, RA-3, SA-8, CA-2, NIST SP 800-37; NIST SP 800-39; NIST SP 800-115; NIST SP 800-137</v>
      </c>
      <c r="S198" s="74">
        <f>VLOOKUP($B198,'Standards Crosswalk'!$A:$I,9,FALSE)</f>
        <v>0</v>
      </c>
    </row>
    <row r="199" spans="1:19" ht="43.5" thickBot="1" x14ac:dyDescent="0.25">
      <c r="A199" s="73">
        <f t="shared" si="6"/>
        <v>197</v>
      </c>
      <c r="B199" s="79" t="s">
        <v>370</v>
      </c>
      <c r="C199" s="80" t="str">
        <f>VLOOKUP(B199,HECVAT!A:E,2,FALSE)</f>
        <v>Do you incorporate customer feedback into security feature requests?</v>
      </c>
      <c r="D199" s="73">
        <f>VLOOKUP(B199,HECVAT!A:E,4,FALSE)</f>
        <v>0</v>
      </c>
      <c r="E199" s="81" t="b">
        <f>IF(Table1[[#This Row],[Column11]]&gt;20,TRUE,FALSE)</f>
        <v>0</v>
      </c>
      <c r="F199" s="81" t="s">
        <v>2059</v>
      </c>
      <c r="G199" s="82" t="s">
        <v>17</v>
      </c>
      <c r="H199" s="83">
        <v>1</v>
      </c>
      <c r="I199" s="73">
        <f>VLOOKUP(B199,HECVAT!A:E,3,FALSE)</f>
        <v>0</v>
      </c>
      <c r="J199" s="73">
        <f>IF(Table1[[#This Row],[Column7]]=Table1[[#This Row],[Column9]],1,0)</f>
        <v>0</v>
      </c>
      <c r="K199" s="73">
        <f>IF(Table1[[#This Row],[Column8]]=1,15,"")</f>
        <v>15</v>
      </c>
      <c r="L199" s="73">
        <f>IF(Table1[[#This Row],[Column8]]=1,J199*K199,"")</f>
        <v>0</v>
      </c>
      <c r="M199" s="74">
        <f>VLOOKUP($B199,'Standards Crosswalk'!$A:$H,3,FALSE)</f>
        <v>0</v>
      </c>
      <c r="N199" s="74">
        <f>VLOOKUP($B199,'Standards Crosswalk'!$A:$H,4,FALSE)</f>
        <v>0</v>
      </c>
      <c r="O199" s="74">
        <f>VLOOKUP($B199,'Standards Crosswalk'!$A:$H,5,FALSE)</f>
        <v>0</v>
      </c>
      <c r="P199" s="74">
        <f>VLOOKUP($B199,'Standards Crosswalk'!$A:$H,6,FALSE)</f>
        <v>0</v>
      </c>
      <c r="Q199" s="74">
        <f>VLOOKUP($B199,'Standards Crosswalk'!$A:$H,7,FALSE)</f>
        <v>0</v>
      </c>
      <c r="R199" s="74">
        <f>VLOOKUP($B199,'Standards Crosswalk'!$A:$H,8,FALSE)</f>
        <v>0</v>
      </c>
      <c r="S199" s="74">
        <f>VLOOKUP($B199,'Standards Crosswalk'!$A:$I,9,FALSE)</f>
        <v>0</v>
      </c>
    </row>
    <row r="200" spans="1:19" ht="29.25" thickBot="1" x14ac:dyDescent="0.25">
      <c r="A200" s="73">
        <f t="shared" si="6"/>
        <v>198</v>
      </c>
      <c r="B200" s="79" t="s">
        <v>371</v>
      </c>
      <c r="C200" s="80" t="str">
        <f>VLOOKUP(B200,HECVAT!A:E,2,FALSE)</f>
        <v>Can you provide an evaluation site to the institution for testing?</v>
      </c>
      <c r="D200" s="73">
        <f>VLOOKUP(B200,HECVAT!A:E,4,FALSE)</f>
        <v>0</v>
      </c>
      <c r="E200" s="81" t="b">
        <f>IF(Table1[[#This Row],[Column11]]&gt;20,TRUE,FALSE)</f>
        <v>0</v>
      </c>
      <c r="F200" s="81" t="s">
        <v>2059</v>
      </c>
      <c r="G200" s="82" t="s">
        <v>17</v>
      </c>
      <c r="H200" s="83">
        <v>1</v>
      </c>
      <c r="I200" s="73">
        <f>VLOOKUP(B200,HECVAT!A:E,3,FALSE)</f>
        <v>0</v>
      </c>
      <c r="J200" s="73">
        <f>IF(Table1[[#This Row],[Column7]]=Table1[[#This Row],[Column9]],1,0)</f>
        <v>0</v>
      </c>
      <c r="K200" s="73">
        <f>IF(Table1[[#This Row],[Column8]]=1,15,"")</f>
        <v>15</v>
      </c>
      <c r="L200" s="73">
        <f>IF(Table1[[#This Row],[Column8]]=1,J200*K200,"")</f>
        <v>0</v>
      </c>
      <c r="M200" s="74">
        <f>VLOOKUP($B200,'Standards Crosswalk'!$A:$H,3,FALSE)</f>
        <v>0</v>
      </c>
      <c r="N200" s="74">
        <f>VLOOKUP($B200,'Standards Crosswalk'!$A:$H,4,FALSE)</f>
        <v>0</v>
      </c>
      <c r="O200" s="74">
        <f>VLOOKUP($B200,'Standards Crosswalk'!$A:$H,5,FALSE)</f>
        <v>0</v>
      </c>
      <c r="P200" s="74" t="str">
        <f>VLOOKUP($B200,'Standards Crosswalk'!$A:$H,6,FALSE)</f>
        <v>PR.DS-7</v>
      </c>
      <c r="Q200" s="74">
        <f>VLOOKUP($B200,'Standards Crosswalk'!$A:$H,7,FALSE)</f>
        <v>0</v>
      </c>
      <c r="R200" s="74">
        <f>VLOOKUP($B200,'Standards Crosswalk'!$A:$H,8,FALSE)</f>
        <v>0</v>
      </c>
      <c r="S200" s="74">
        <f>VLOOKUP($B200,'Standards Crosswalk'!$A:$I,9,FALSE)</f>
        <v>0</v>
      </c>
    </row>
    <row r="201" spans="1:19" ht="29.25" thickBot="1" x14ac:dyDescent="0.25">
      <c r="A201" s="73">
        <f t="shared" si="6"/>
        <v>199</v>
      </c>
      <c r="B201" s="79" t="s">
        <v>372</v>
      </c>
      <c r="C201" s="80" t="str">
        <f>VLOOKUP(B201,HECVAT!A:E,2,FALSE)</f>
        <v>Provide a general summary of your Quality Assurance program.</v>
      </c>
      <c r="D201" s="73">
        <f>VLOOKUP(B201,HECVAT!A:E,4,FALSE)</f>
        <v>0</v>
      </c>
      <c r="E201" s="81" t="b">
        <f>IF(Table1[[#This Row],[Column11]]&gt;20,TRUE,FALSE)</f>
        <v>0</v>
      </c>
      <c r="F201" s="81" t="s">
        <v>2060</v>
      </c>
      <c r="G201" s="82" t="s">
        <v>17</v>
      </c>
      <c r="H201" s="83">
        <v>1</v>
      </c>
      <c r="I201" s="73">
        <f>VLOOKUP(B201,HECVAT!A:E,3,FALSE)</f>
        <v>0</v>
      </c>
      <c r="J201" s="73">
        <f>IF(VLOOKUP(Table1[[#This Row],[Column2]],'Analyst Report'!$A$41:$G$88,7,FALSE)="Yes",1,0)</f>
        <v>0</v>
      </c>
      <c r="K201" s="73">
        <f>IF(Table1[[#This Row],[Column8]]=1,15,"")</f>
        <v>15</v>
      </c>
      <c r="L201" s="73">
        <f>IF(Table1[[#This Row],[Column8]]=1,J201*K201,"")</f>
        <v>0</v>
      </c>
      <c r="M201" s="74" t="str">
        <f>VLOOKUP($B201,'Standards Crosswalk'!$A:$H,3,FALSE)</f>
        <v>CSC 13</v>
      </c>
      <c r="N201" s="74">
        <f>VLOOKUP($B201,'Standards Crosswalk'!$A:$H,4,FALSE)</f>
        <v>0</v>
      </c>
      <c r="O201" s="74">
        <f>VLOOKUP($B201,'Standards Crosswalk'!$A:$H,5,FALSE)</f>
        <v>0</v>
      </c>
      <c r="P201" s="74">
        <f>VLOOKUP($B201,'Standards Crosswalk'!$A:$H,6,FALSE)</f>
        <v>0</v>
      </c>
      <c r="Q201" s="74">
        <f>VLOOKUP($B201,'Standards Crosswalk'!$A:$H,7,FALSE)</f>
        <v>0</v>
      </c>
      <c r="R201" s="74">
        <f>VLOOKUP($B201,'Standards Crosswalk'!$A:$H,8,FALSE)</f>
        <v>0</v>
      </c>
      <c r="S201" s="74">
        <f>VLOOKUP($B201,'Standards Crosswalk'!$A:$I,9,FALSE)</f>
        <v>0</v>
      </c>
    </row>
    <row r="202" spans="1:19" ht="29.25" thickBot="1" x14ac:dyDescent="0.25">
      <c r="A202" s="73">
        <f t="shared" si="6"/>
        <v>200</v>
      </c>
      <c r="B202" s="79" t="s">
        <v>373</v>
      </c>
      <c r="C202" s="80" t="str">
        <f>VLOOKUP(B202,HECVAT!A:E,2,FALSE)</f>
        <v>Do you comply with ISO 9001?</v>
      </c>
      <c r="D202" s="73">
        <f>VLOOKUP(B202,HECVAT!A:E,4,FALSE)</f>
        <v>0</v>
      </c>
      <c r="E202" s="81" t="b">
        <f>IF(Table1[[#This Row],[Column11]]&gt;20,TRUE,FALSE)</f>
        <v>0</v>
      </c>
      <c r="F202" s="81" t="s">
        <v>2060</v>
      </c>
      <c r="G202" s="82" t="s">
        <v>17</v>
      </c>
      <c r="H202" s="83">
        <v>1</v>
      </c>
      <c r="I202" s="73">
        <f>VLOOKUP(B202,HECVAT!A:E,3,FALSE)</f>
        <v>0</v>
      </c>
      <c r="J202" s="73">
        <f>IF(Table1[[#This Row],[Column7]]=Table1[[#This Row],[Column9]],1,0)</f>
        <v>0</v>
      </c>
      <c r="K202" s="73">
        <f>IF(Table1[[#This Row],[Column8]]=1,15,"")</f>
        <v>15</v>
      </c>
      <c r="L202" s="73">
        <f>IF(Table1[[#This Row],[Column8]]=1,J202*K202,"")</f>
        <v>0</v>
      </c>
      <c r="M202" s="74" t="str">
        <f>VLOOKUP($B202,'Standards Crosswalk'!$A:$H,3,FALSE)</f>
        <v>CSC 13</v>
      </c>
      <c r="N202" s="74">
        <f>VLOOKUP($B202,'Standards Crosswalk'!$A:$H,4,FALSE)</f>
        <v>0</v>
      </c>
      <c r="O202" s="74" t="str">
        <f>VLOOKUP($B202,'Standards Crosswalk'!$A:$H,5,FALSE)</f>
        <v>18.1.1</v>
      </c>
      <c r="P202" s="74">
        <f>VLOOKUP($B202,'Standards Crosswalk'!$A:$H,6,FALSE)</f>
        <v>0</v>
      </c>
      <c r="Q202" s="74">
        <f>VLOOKUP($B202,'Standards Crosswalk'!$A:$H,7,FALSE)</f>
        <v>0</v>
      </c>
      <c r="R202" s="74">
        <f>VLOOKUP($B202,'Standards Crosswalk'!$A:$H,8,FALSE)</f>
        <v>0</v>
      </c>
      <c r="S202" s="74">
        <f>VLOOKUP($B202,'Standards Crosswalk'!$A:$I,9,FALSE)</f>
        <v>0</v>
      </c>
    </row>
    <row r="203" spans="1:19" ht="72" thickBot="1" x14ac:dyDescent="0.25">
      <c r="A203" s="73">
        <f t="shared" si="6"/>
        <v>201</v>
      </c>
      <c r="B203" s="79" t="s">
        <v>374</v>
      </c>
      <c r="C203" s="80" t="str">
        <f>VLOOKUP(B203,HECVAT!A:E,2,FALSE)</f>
        <v>Will your company provide quality and performance metrics in relation to the scope of services and performance expectations for the services you are offering?</v>
      </c>
      <c r="D203" s="73">
        <f>VLOOKUP(B203,HECVAT!A:E,4,FALSE)</f>
        <v>0</v>
      </c>
      <c r="E203" s="81" t="b">
        <f>IF(Table1[[#This Row],[Column11]]&gt;20,TRUE,FALSE)</f>
        <v>0</v>
      </c>
      <c r="F203" s="81" t="s">
        <v>2060</v>
      </c>
      <c r="G203" s="82" t="s">
        <v>17</v>
      </c>
      <c r="H203" s="83">
        <v>1</v>
      </c>
      <c r="I203" s="73">
        <f>VLOOKUP(B203,HECVAT!A:E,3,FALSE)</f>
        <v>0</v>
      </c>
      <c r="J203" s="73">
        <f>IF(Table1[[#This Row],[Column7]]=Table1[[#This Row],[Column9]],1,0)</f>
        <v>0</v>
      </c>
      <c r="K203" s="73">
        <f>IF(Table1[[#This Row],[Column8]]=1,15,"")</f>
        <v>15</v>
      </c>
      <c r="L203" s="73">
        <f>IF(Table1[[#This Row],[Column8]]=1,J203*K203,"")</f>
        <v>0</v>
      </c>
      <c r="M203" s="74" t="str">
        <f>VLOOKUP($B203,'Standards Crosswalk'!$A:$H,3,FALSE)</f>
        <v>CSC 13</v>
      </c>
      <c r="N203" s="74">
        <f>VLOOKUP($B203,'Standards Crosswalk'!$A:$H,4,FALSE)</f>
        <v>0</v>
      </c>
      <c r="O203" s="74">
        <f>VLOOKUP($B203,'Standards Crosswalk'!$A:$H,5,FALSE)</f>
        <v>0</v>
      </c>
      <c r="P203" s="74">
        <f>VLOOKUP($B203,'Standards Crosswalk'!$A:$H,6,FALSE)</f>
        <v>0</v>
      </c>
      <c r="Q203" s="74">
        <f>VLOOKUP($B203,'Standards Crosswalk'!$A:$H,7,FALSE)</f>
        <v>0</v>
      </c>
      <c r="R203" s="74">
        <f>VLOOKUP($B203,'Standards Crosswalk'!$A:$H,8,FALSE)</f>
        <v>0</v>
      </c>
      <c r="S203" s="74">
        <f>VLOOKUP($B203,'Standards Crosswalk'!$A:$I,9,FALSE)</f>
        <v>0</v>
      </c>
    </row>
    <row r="204" spans="1:19" ht="43.5" thickBot="1" x14ac:dyDescent="0.25">
      <c r="A204" s="73">
        <f t="shared" si="6"/>
        <v>202</v>
      </c>
      <c r="B204" s="79" t="s">
        <v>375</v>
      </c>
      <c r="C204" s="80" t="str">
        <f>VLOOKUP(B204,HECVAT!A:E,2,FALSE)</f>
        <v>Have you supplied products and/or services to the Institution (or its Campuses) in the last five years?</v>
      </c>
      <c r="D204" s="73">
        <f>VLOOKUP(B204,HECVAT!A:E,4,FALSE)</f>
        <v>0</v>
      </c>
      <c r="E204" s="81" t="b">
        <f>IF(Table1[[#This Row],[Column11]]&gt;20,TRUE,FALSE)</f>
        <v>0</v>
      </c>
      <c r="F204" s="81" t="s">
        <v>2060</v>
      </c>
      <c r="G204" s="82" t="s">
        <v>17</v>
      </c>
      <c r="H204" s="83">
        <v>1</v>
      </c>
      <c r="I204" s="73">
        <f>VLOOKUP(B204,HECVAT!A:E,3,FALSE)</f>
        <v>0</v>
      </c>
      <c r="J204" s="73">
        <f>IF(Table1[[#This Row],[Column7]]=Table1[[#This Row],[Column9]],1,0)</f>
        <v>0</v>
      </c>
      <c r="K204" s="73">
        <f>IF(Table1[[#This Row],[Column8]]=1,15,"")</f>
        <v>15</v>
      </c>
      <c r="L204" s="73">
        <f>IF(Table1[[#This Row],[Column8]]=1,J204*K204,"")</f>
        <v>0</v>
      </c>
      <c r="M204" s="74">
        <f>VLOOKUP($B204,'Standards Crosswalk'!$A:$H,3,FALSE)</f>
        <v>0</v>
      </c>
      <c r="N204" s="74">
        <f>VLOOKUP($B204,'Standards Crosswalk'!$A:$H,4,FALSE)</f>
        <v>0</v>
      </c>
      <c r="O204" s="74">
        <f>VLOOKUP($B204,'Standards Crosswalk'!$A:$H,5,FALSE)</f>
        <v>0</v>
      </c>
      <c r="P204" s="74">
        <f>VLOOKUP($B204,'Standards Crosswalk'!$A:$H,6,FALSE)</f>
        <v>0</v>
      </c>
      <c r="Q204" s="74">
        <f>VLOOKUP($B204,'Standards Crosswalk'!$A:$H,7,FALSE)</f>
        <v>0</v>
      </c>
      <c r="R204" s="74">
        <f>VLOOKUP($B204,'Standards Crosswalk'!$A:$H,8,FALSE)</f>
        <v>0</v>
      </c>
      <c r="S204" s="74">
        <f>VLOOKUP($B204,'Standards Crosswalk'!$A:$I,9,FALSE)</f>
        <v>0</v>
      </c>
    </row>
    <row r="205" spans="1:19" ht="43.5" thickBot="1" x14ac:dyDescent="0.25">
      <c r="A205" s="73">
        <f t="shared" si="6"/>
        <v>203</v>
      </c>
      <c r="B205" s="79" t="s">
        <v>376</v>
      </c>
      <c r="C205" s="80" t="str">
        <f>VLOOKUP(B205,HECVAT!A:E,2,FALSE)</f>
        <v>Do you have a program to keep your customers abreast of higher education and/or industry issues?</v>
      </c>
      <c r="D205" s="73">
        <f>VLOOKUP(B205,HECVAT!A:E,4,FALSE)</f>
        <v>0</v>
      </c>
      <c r="E205" s="81" t="b">
        <f>IF(Table1[[#This Row],[Column11]]&gt;20,TRUE,FALSE)</f>
        <v>0</v>
      </c>
      <c r="F205" s="81" t="s">
        <v>2060</v>
      </c>
      <c r="G205" s="82" t="s">
        <v>17</v>
      </c>
      <c r="H205" s="83">
        <v>1</v>
      </c>
      <c r="I205" s="73">
        <f>VLOOKUP(B205,HECVAT!A:E,3,FALSE)</f>
        <v>0</v>
      </c>
      <c r="J205" s="73">
        <f>IF(Table1[[#This Row],[Column7]]=Table1[[#This Row],[Column9]],1,0)</f>
        <v>0</v>
      </c>
      <c r="K205" s="73">
        <f>IF(Table1[[#This Row],[Column8]]=1,15,"")</f>
        <v>15</v>
      </c>
      <c r="L205" s="73">
        <f>IF(Table1[[#This Row],[Column8]]=1,J205*K205,"")</f>
        <v>0</v>
      </c>
      <c r="M205" s="74" t="str">
        <f>VLOOKUP($B205,'Standards Crosswalk'!$A:$H,3,FALSE)</f>
        <v>CSC 17</v>
      </c>
      <c r="N205" s="74">
        <f>VLOOKUP($B205,'Standards Crosswalk'!$A:$H,4,FALSE)</f>
        <v>0</v>
      </c>
      <c r="O205" s="74">
        <f>VLOOKUP($B205,'Standards Crosswalk'!$A:$H,5,FALSE)</f>
        <v>0</v>
      </c>
      <c r="P205" s="74">
        <f>VLOOKUP($B205,'Standards Crosswalk'!$A:$H,6,FALSE)</f>
        <v>0</v>
      </c>
      <c r="Q205" s="74">
        <f>VLOOKUP($B205,'Standards Crosswalk'!$A:$H,7,FALSE)</f>
        <v>0</v>
      </c>
      <c r="R205" s="74">
        <f>VLOOKUP($B205,'Standards Crosswalk'!$A:$H,8,FALSE)</f>
        <v>0</v>
      </c>
      <c r="S205" s="74">
        <f>VLOOKUP($B205,'Standards Crosswalk'!$A:$I,9,FALSE)</f>
        <v>0</v>
      </c>
    </row>
    <row r="206" spans="1:19" ht="72" thickBot="1" x14ac:dyDescent="0.25">
      <c r="A206" s="73">
        <f t="shared" si="6"/>
        <v>204</v>
      </c>
      <c r="B206" s="79" t="s">
        <v>377</v>
      </c>
      <c r="C206" s="80" t="str">
        <f>VLOOKUP(B206,HECVAT!A:E,2,FALSE)</f>
        <v>Are systems that support this service managed via a separate management network?</v>
      </c>
      <c r="D206" s="73">
        <f>VLOOKUP(B206,HECVAT!A:E,4,FALSE)</f>
        <v>0</v>
      </c>
      <c r="E206" s="81" t="b">
        <f>IF(Table1[[#This Row],[Column11]]&gt;20,TRUE,FALSE)</f>
        <v>1</v>
      </c>
      <c r="F206" s="81" t="s">
        <v>2061</v>
      </c>
      <c r="G206" s="82" t="s">
        <v>17</v>
      </c>
      <c r="H206" s="83">
        <v>1</v>
      </c>
      <c r="I206" s="73">
        <f>VLOOKUP(B206,HECVAT!A:E,3,FALSE)</f>
        <v>0</v>
      </c>
      <c r="J206" s="73">
        <f>IF(Table1[[#This Row],[Column7]]=Table1[[#This Row],[Column9]],1,0)</f>
        <v>0</v>
      </c>
      <c r="K206" s="73">
        <f>IF(Table1[[#This Row],[Column8]]=1,25,"")</f>
        <v>25</v>
      </c>
      <c r="L206" s="73">
        <f>IF(Table1[[#This Row],[Column8]]=1,J206*K206,"")</f>
        <v>0</v>
      </c>
      <c r="M206" s="74" t="str">
        <f>VLOOKUP($B206,'Standards Crosswalk'!$A:$H,3,FALSE)</f>
        <v>CSC 12</v>
      </c>
      <c r="N206" s="74">
        <f>VLOOKUP($B206,'Standards Crosswalk'!$A:$H,4,FALSE)</f>
        <v>0</v>
      </c>
      <c r="O206" s="74" t="str">
        <f>VLOOKUP($B206,'Standards Crosswalk'!$A:$H,5,FALSE)</f>
        <v>13.1.1</v>
      </c>
      <c r="P206" s="74" t="str">
        <f>VLOOKUP($B206,'Standards Crosswalk'!$A:$H,6,FALSE)</f>
        <v>PR.PT-4</v>
      </c>
      <c r="Q206" s="74" t="str">
        <f>VLOOKUP($B206,'Standards Crosswalk'!$A:$H,7,FALSE)</f>
        <v>3.1.3</v>
      </c>
      <c r="R206" s="74" t="str">
        <f>VLOOKUP($B206,'Standards Crosswalk'!$A:$H,8,FALSE)</f>
        <v>AC-4</v>
      </c>
      <c r="S206" s="74">
        <f>VLOOKUP($B206,'Standards Crosswalk'!$A:$I,9,FALSE)</f>
        <v>0</v>
      </c>
    </row>
    <row r="207" spans="1:19" ht="72" thickBot="1" x14ac:dyDescent="0.25">
      <c r="A207" s="73">
        <f t="shared" si="6"/>
        <v>205</v>
      </c>
      <c r="B207" s="79" t="s">
        <v>378</v>
      </c>
      <c r="C207" s="80" t="str">
        <f>VLOOKUP(B207,HECVAT!A:E,2,FALSE)</f>
        <v>Do you have an implemented system configuration management process? (e.g. secure "gold" images, etc.)</v>
      </c>
      <c r="D207" s="73">
        <f>VLOOKUP(B207,HECVAT!A:E,4,FALSE)</f>
        <v>0</v>
      </c>
      <c r="E207" s="81" t="b">
        <f>IF(Table1[[#This Row],[Column11]]&gt;20,TRUE,FALSE)</f>
        <v>0</v>
      </c>
      <c r="F207" s="81" t="s">
        <v>2061</v>
      </c>
      <c r="G207" s="82" t="s">
        <v>17</v>
      </c>
      <c r="H207" s="83">
        <v>1</v>
      </c>
      <c r="I207" s="73">
        <f>VLOOKUP(B207,HECVAT!A:E,3,FALSE)</f>
        <v>0</v>
      </c>
      <c r="J207" s="73">
        <f>IF(Table1[[#This Row],[Column7]]=Table1[[#This Row],[Column9]],1,0)</f>
        <v>0</v>
      </c>
      <c r="K207" s="73">
        <f>IF(Table1[[#This Row],[Column8]]=1,10,"")</f>
        <v>10</v>
      </c>
      <c r="L207" s="73">
        <f>IF(Table1[[#This Row],[Column8]]=1,J207*K207,"")</f>
        <v>0</v>
      </c>
      <c r="M207" s="74" t="str">
        <f>VLOOKUP($B207,'Standards Crosswalk'!$A:$H,3,FALSE)</f>
        <v>CSC 3</v>
      </c>
      <c r="N207" s="74">
        <f>VLOOKUP($B207,'Standards Crosswalk'!$A:$H,4,FALSE)</f>
        <v>0</v>
      </c>
      <c r="O207" s="74">
        <f>VLOOKUP($B207,'Standards Crosswalk'!$A:$H,5,FALSE)</f>
        <v>0</v>
      </c>
      <c r="P207" s="74" t="str">
        <f>VLOOKUP($B207,'Standards Crosswalk'!$A:$H,6,FALSE)</f>
        <v>PR.IP-1</v>
      </c>
      <c r="Q207" s="74" t="str">
        <f>VLOOKUP($B207,'Standards Crosswalk'!$A:$H,7,FALSE)</f>
        <v>3.4.1, 3.4.2, 3.4.3</v>
      </c>
      <c r="R207" s="74" t="str">
        <f>VLOOKUP($B207,'Standards Crosswalk'!$A:$H,8,FALSE)</f>
        <v>CM-2, CM-3, CM-6, CM-8</v>
      </c>
      <c r="S207" s="74">
        <f>VLOOKUP($B207,'Standards Crosswalk'!$A:$I,9,FALSE)</f>
        <v>0</v>
      </c>
    </row>
    <row r="208" spans="1:19" ht="72" thickBot="1" x14ac:dyDescent="0.25">
      <c r="A208" s="73">
        <f t="shared" si="6"/>
        <v>206</v>
      </c>
      <c r="B208" s="79" t="s">
        <v>379</v>
      </c>
      <c r="C208" s="80" t="str">
        <f>VLOOKUP(B208,HECVAT!A:E,2,FALSE)</f>
        <v>Are employee mobile devices managed by your company's Mobile Device Management (MDM) platform?</v>
      </c>
      <c r="D208" s="73">
        <f>VLOOKUP(B208,HECVAT!A:E,4,FALSE)</f>
        <v>0</v>
      </c>
      <c r="E208" s="81" t="b">
        <f>IF(Table1[[#This Row],[Column11]]&gt;20,TRUE,FALSE)</f>
        <v>0</v>
      </c>
      <c r="F208" s="81" t="s">
        <v>2061</v>
      </c>
      <c r="G208" s="82" t="s">
        <v>17</v>
      </c>
      <c r="H208" s="83">
        <v>1</v>
      </c>
      <c r="I208" s="73">
        <f>VLOOKUP(B208,HECVAT!A:E,3,FALSE)</f>
        <v>0</v>
      </c>
      <c r="J208" s="73">
        <f>IF(Table1[[#This Row],[Column7]]=Table1[[#This Row],[Column9]],1,0)</f>
        <v>0</v>
      </c>
      <c r="K208" s="73">
        <f>IF(Table1[[#This Row],[Column8]]=1,15,"")</f>
        <v>15</v>
      </c>
      <c r="L208" s="73">
        <f>IF(Table1[[#This Row],[Column8]]=1,J208*K208,"")</f>
        <v>0</v>
      </c>
      <c r="M208" s="74" t="str">
        <f>VLOOKUP($B208,'Standards Crosswalk'!$A:$H,3,FALSE)</f>
        <v>CSC 3</v>
      </c>
      <c r="N208" s="74">
        <f>VLOOKUP($B208,'Standards Crosswalk'!$A:$H,4,FALSE)</f>
        <v>0</v>
      </c>
      <c r="O208" s="74" t="str">
        <f>VLOOKUP($B208,'Standards Crosswalk'!$A:$H,5,FALSE)</f>
        <v>6.2.1</v>
      </c>
      <c r="P208" s="74">
        <f>VLOOKUP($B208,'Standards Crosswalk'!$A:$H,6,FALSE)</f>
        <v>0</v>
      </c>
      <c r="Q208" s="74" t="str">
        <f>VLOOKUP($B208,'Standards Crosswalk'!$A:$H,7,FALSE)</f>
        <v>3.13.13</v>
      </c>
      <c r="R208" s="74">
        <f>VLOOKUP($B208,'Standards Crosswalk'!$A:$H,8,FALSE)</f>
        <v>0</v>
      </c>
      <c r="S208" s="74">
        <f>VLOOKUP($B208,'Standards Crosswalk'!$A:$I,9,FALSE)</f>
        <v>0</v>
      </c>
    </row>
    <row r="209" spans="1:19" ht="72" thickBot="1" x14ac:dyDescent="0.25">
      <c r="A209" s="73">
        <f t="shared" si="6"/>
        <v>207</v>
      </c>
      <c r="B209" s="79" t="s">
        <v>380</v>
      </c>
      <c r="C209" s="80" t="str">
        <f>VLOOKUP(B209,HECVAT!A:E,2,FALSE)</f>
        <v>Do you have a systems management and configuration strategy that encompasses servers, appliances, and mobile devices (company and employee owned)?</v>
      </c>
      <c r="D209" s="73">
        <f>VLOOKUP(B209,HECVAT!A:E,4,FALSE)</f>
        <v>0</v>
      </c>
      <c r="E209" s="81" t="b">
        <f>IF(Table1[[#This Row],[Column11]]&gt;20,TRUE,FALSE)</f>
        <v>0</v>
      </c>
      <c r="F209" s="81" t="s">
        <v>2061</v>
      </c>
      <c r="G209" s="82" t="s">
        <v>17</v>
      </c>
      <c r="H209" s="83">
        <v>1</v>
      </c>
      <c r="I209" s="73">
        <f>VLOOKUP(B209,HECVAT!A:E,3,FALSE)</f>
        <v>0</v>
      </c>
      <c r="J209" s="73">
        <f>IF(Table1[[#This Row],[Column7]]=Table1[[#This Row],[Column9]],1,0)</f>
        <v>0</v>
      </c>
      <c r="K209" s="73">
        <f>IF(Table1[[#This Row],[Column8]]=1,20,"")</f>
        <v>20</v>
      </c>
      <c r="L209" s="73">
        <f>IF(Table1[[#This Row],[Column8]]=1,J209*K209,"")</f>
        <v>0</v>
      </c>
      <c r="M209" s="74" t="str">
        <f>VLOOKUP($B209,'Standards Crosswalk'!$A:$H,3,FALSE)</f>
        <v>CSC 3</v>
      </c>
      <c r="N209" s="74">
        <f>VLOOKUP($B209,'Standards Crosswalk'!$A:$H,4,FALSE)</f>
        <v>0</v>
      </c>
      <c r="O209" s="74" t="str">
        <f>VLOOKUP($B209,'Standards Crosswalk'!$A:$H,5,FALSE)</f>
        <v>12.1.1</v>
      </c>
      <c r="P209" s="74" t="str">
        <f>VLOOKUP($B209,'Standards Crosswalk'!$A:$H,6,FALSE)</f>
        <v>PR.IP-1, PR.IP-2</v>
      </c>
      <c r="Q209" s="74" t="str">
        <f>VLOOKUP($B209,'Standards Crosswalk'!$A:$H,7,FALSE)</f>
        <v>3.1.18, 3.7.1, 3.13.13</v>
      </c>
      <c r="R209" s="74" t="str">
        <f>VLOOKUP($B209,'Standards Crosswalk'!$A:$H,8,FALSE)</f>
        <v>CM-2, CM-6, CM-3, AC-19, MA-2</v>
      </c>
      <c r="S209" s="74">
        <f>VLOOKUP($B209,'Standards Crosswalk'!$A:$I,9,FALSE)</f>
        <v>0</v>
      </c>
    </row>
    <row r="210" spans="1:19" ht="43.5" thickBot="1" x14ac:dyDescent="0.25">
      <c r="A210" s="73">
        <f t="shared" si="6"/>
        <v>208</v>
      </c>
      <c r="B210" s="79" t="s">
        <v>381</v>
      </c>
      <c r="C210" s="80" t="str">
        <f>VLOOKUP(B210,HECVAT!A:E,2,FALSE)</f>
        <v>Are your applications scanned externally for vulnerabilities?</v>
      </c>
      <c r="D210" s="73">
        <f>VLOOKUP(B210,HECVAT!A:E,4,FALSE)</f>
        <v>0</v>
      </c>
      <c r="E210" s="81" t="b">
        <f>IF(Table1[[#This Row],[Column11]]&gt;20,TRUE,FALSE)</f>
        <v>1</v>
      </c>
      <c r="F210" s="81" t="s">
        <v>2062</v>
      </c>
      <c r="G210" s="82" t="s">
        <v>17</v>
      </c>
      <c r="H210" s="83">
        <v>1</v>
      </c>
      <c r="I210" s="73">
        <f>VLOOKUP(B210,HECVAT!A:E,3,FALSE)</f>
        <v>0</v>
      </c>
      <c r="J210" s="73">
        <f>IF(Table1[[#This Row],[Column7]]=Table1[[#This Row],[Column9]],1,0)</f>
        <v>0</v>
      </c>
      <c r="K210" s="73">
        <f>IF(Table1[[#This Row],[Column8]]=1,25,"")</f>
        <v>25</v>
      </c>
      <c r="L210" s="73">
        <f>IF(Table1[[#This Row],[Column8]]=1,J210*K210,"")</f>
        <v>0</v>
      </c>
      <c r="M210" s="74" t="str">
        <f>VLOOKUP($B210,'Standards Crosswalk'!$A:$H,3,FALSE)</f>
        <v>CSC 4</v>
      </c>
      <c r="N210" s="74">
        <f>VLOOKUP($B210,'Standards Crosswalk'!$A:$H,4,FALSE)</f>
        <v>0</v>
      </c>
      <c r="O210" s="74" t="str">
        <f>VLOOKUP($B210,'Standards Crosswalk'!$A:$H,5,FALSE)</f>
        <v>12.6.1</v>
      </c>
      <c r="P210" s="74" t="str">
        <f>VLOOKUP($B210,'Standards Crosswalk'!$A:$H,6,FALSE)</f>
        <v>DE.CM-8</v>
      </c>
      <c r="Q210" s="74" t="str">
        <f>VLOOKUP($B210,'Standards Crosswalk'!$A:$H,7,FALSE)</f>
        <v>3.11.1, 3.11.2, 3.11.3</v>
      </c>
      <c r="R210" s="74" t="str">
        <f>VLOOKUP($B210,'Standards Crosswalk'!$A:$H,8,FALSE)</f>
        <v>SI-2</v>
      </c>
      <c r="S210" s="74">
        <f>VLOOKUP($B210,'Standards Crosswalk'!$A:$I,9,FALSE)</f>
        <v>11.2</v>
      </c>
    </row>
    <row r="211" spans="1:19" ht="43.5" thickBot="1" x14ac:dyDescent="0.25">
      <c r="A211" s="73">
        <f t="shared" si="6"/>
        <v>209</v>
      </c>
      <c r="B211" s="97" t="s">
        <v>382</v>
      </c>
      <c r="C211" s="80" t="str">
        <f>VLOOKUP(B211,HECVAT!A:E,2,FALSE)</f>
        <v>Have your applications had an external vulnerability assessment in the last year?</v>
      </c>
      <c r="D211" s="73">
        <f>VLOOKUP(B211,HECVAT!A:E,4,FALSE)</f>
        <v>0</v>
      </c>
      <c r="E211" s="81" t="b">
        <f>IF(Table1[[#This Row],[Column11]]&gt;20,TRUE,FALSE)</f>
        <v>1</v>
      </c>
      <c r="F211" s="81" t="s">
        <v>2062</v>
      </c>
      <c r="G211" s="82" t="s">
        <v>17</v>
      </c>
      <c r="H211" s="83">
        <f>IF(I210="Yes",1,0)</f>
        <v>0</v>
      </c>
      <c r="I211" s="73">
        <f>VLOOKUP(B211,HECVAT!A:E,3,FALSE)</f>
        <v>0</v>
      </c>
      <c r="J211" s="73">
        <f>IF(Table1[[#This Row],[Column7]]=Table1[[#This Row],[Column9]],1,0)</f>
        <v>0</v>
      </c>
      <c r="K211" s="73" t="str">
        <f>IF(Table1[[#This Row],[Column8]]=1,25,"")</f>
        <v/>
      </c>
      <c r="L211" s="73" t="str">
        <f>IF(Table1[[#This Row],[Column8]]=1,J211*K211,"")</f>
        <v/>
      </c>
      <c r="M211" s="74" t="str">
        <f>VLOOKUP($B211,'Standards Crosswalk'!$A:$H,3,FALSE)</f>
        <v>CSC 4</v>
      </c>
      <c r="N211" s="74">
        <f>VLOOKUP($B211,'Standards Crosswalk'!$A:$H,4,FALSE)</f>
        <v>0</v>
      </c>
      <c r="O211" s="74" t="str">
        <f>VLOOKUP($B211,'Standards Crosswalk'!$A:$H,5,FALSE)</f>
        <v>12.6.1</v>
      </c>
      <c r="P211" s="74" t="str">
        <f>VLOOKUP($B211,'Standards Crosswalk'!$A:$H,6,FALSE)</f>
        <v>DE.CM-8</v>
      </c>
      <c r="Q211" s="74" t="str">
        <f>VLOOKUP($B211,'Standards Crosswalk'!$A:$H,7,FALSE)</f>
        <v>3.11.1, 3.11.2, 3.11.3</v>
      </c>
      <c r="R211" s="74" t="str">
        <f>VLOOKUP($B211,'Standards Crosswalk'!$A:$H,8,FALSE)</f>
        <v>SI-2</v>
      </c>
      <c r="S211" s="74">
        <f>VLOOKUP($B211,'Standards Crosswalk'!$A:$I,9,FALSE)</f>
        <v>11.2</v>
      </c>
    </row>
    <row r="212" spans="1:19" ht="43.5" thickBot="1" x14ac:dyDescent="0.25">
      <c r="A212" s="73">
        <f t="shared" si="6"/>
        <v>210</v>
      </c>
      <c r="B212" s="79" t="s">
        <v>383</v>
      </c>
      <c r="C212" s="80" t="str">
        <f>VLOOKUP(B212,HECVAT!A:E,2,FALSE)</f>
        <v>Are your applications scanned for vulnerabilities prior to new releases?</v>
      </c>
      <c r="D212" s="73">
        <f>VLOOKUP(B212,HECVAT!A:E,4,FALSE)</f>
        <v>0</v>
      </c>
      <c r="E212" s="81" t="b">
        <f>IF(Table1[[#This Row],[Column11]]&gt;20,TRUE,FALSE)</f>
        <v>0</v>
      </c>
      <c r="F212" s="81" t="s">
        <v>2062</v>
      </c>
      <c r="G212" s="82" t="s">
        <v>17</v>
      </c>
      <c r="H212" s="83">
        <v>1</v>
      </c>
      <c r="I212" s="73">
        <f>VLOOKUP(B212,HECVAT!A:E,3,FALSE)</f>
        <v>0</v>
      </c>
      <c r="J212" s="73">
        <f>IF(Table1[[#This Row],[Column7]]=Table1[[#This Row],[Column9]],1,0)</f>
        <v>0</v>
      </c>
      <c r="K212" s="73">
        <f>IF(Table1[[#This Row],[Column8]]=1,20,"")</f>
        <v>20</v>
      </c>
      <c r="L212" s="73">
        <f>IF(Table1[[#This Row],[Column8]]=1,J212*K212,"")</f>
        <v>0</v>
      </c>
      <c r="M212" s="74" t="str">
        <f>VLOOKUP($B212,'Standards Crosswalk'!$A:$H,3,FALSE)</f>
        <v>CSC 4</v>
      </c>
      <c r="N212" s="74">
        <f>VLOOKUP($B212,'Standards Crosswalk'!$A:$H,4,FALSE)</f>
        <v>0</v>
      </c>
      <c r="O212" s="74">
        <f>VLOOKUP($B212,'Standards Crosswalk'!$A:$H,5,FALSE)</f>
        <v>0</v>
      </c>
      <c r="P212" s="74" t="str">
        <f>VLOOKUP($B212,'Standards Crosswalk'!$A:$H,6,FALSE)</f>
        <v>DE.CM-8</v>
      </c>
      <c r="Q212" s="74" t="str">
        <f>VLOOKUP($B212,'Standards Crosswalk'!$A:$H,7,FALSE)</f>
        <v>3.11.1, 3.11.2, 3.11.3</v>
      </c>
      <c r="R212" s="74" t="str">
        <f>VLOOKUP($B212,'Standards Crosswalk'!$A:$H,8,FALSE)</f>
        <v>SI-2</v>
      </c>
      <c r="S212" s="74">
        <f>VLOOKUP($B212,'Standards Crosswalk'!$A:$I,9,FALSE)</f>
        <v>11.2</v>
      </c>
    </row>
    <row r="213" spans="1:19" ht="43.5" thickBot="1" x14ac:dyDescent="0.25">
      <c r="A213" s="73">
        <f t="shared" si="6"/>
        <v>211</v>
      </c>
      <c r="B213" s="79" t="s">
        <v>384</v>
      </c>
      <c r="C213" s="80" t="str">
        <f>VLOOKUP(B213,HECVAT!A:E,2,FALSE)</f>
        <v>Are your systems scanned externally for vulnerabilities?</v>
      </c>
      <c r="D213" s="73">
        <f>VLOOKUP(B213,HECVAT!A:E,4,FALSE)</f>
        <v>0</v>
      </c>
      <c r="E213" s="81" t="b">
        <f>IF(Table1[[#This Row],[Column11]]&gt;20,TRUE,FALSE)</f>
        <v>1</v>
      </c>
      <c r="F213" s="81" t="s">
        <v>2062</v>
      </c>
      <c r="G213" s="82" t="s">
        <v>17</v>
      </c>
      <c r="H213" s="83">
        <v>1</v>
      </c>
      <c r="I213" s="73">
        <f>VLOOKUP(B213,HECVAT!A:E,3,FALSE)</f>
        <v>0</v>
      </c>
      <c r="J213" s="73">
        <f>IF(Table1[[#This Row],[Column7]]=Table1[[#This Row],[Column9]],1,0)</f>
        <v>0</v>
      </c>
      <c r="K213" s="73">
        <f>IF(Table1[[#This Row],[Column8]]=1,25,"")</f>
        <v>25</v>
      </c>
      <c r="L213" s="73">
        <f>IF(Table1[[#This Row],[Column8]]=1,J213*K213,"")</f>
        <v>0</v>
      </c>
      <c r="M213" s="74" t="str">
        <f>VLOOKUP($B213,'Standards Crosswalk'!$A:$H,3,FALSE)</f>
        <v>CSC 4</v>
      </c>
      <c r="N213" s="74">
        <f>VLOOKUP($B213,'Standards Crosswalk'!$A:$H,4,FALSE)</f>
        <v>0</v>
      </c>
      <c r="O213" s="74">
        <f>VLOOKUP($B213,'Standards Crosswalk'!$A:$H,5,FALSE)</f>
        <v>0</v>
      </c>
      <c r="P213" s="74" t="str">
        <f>VLOOKUP($B213,'Standards Crosswalk'!$A:$H,6,FALSE)</f>
        <v>DE.CM-8</v>
      </c>
      <c r="Q213" s="74" t="str">
        <f>VLOOKUP($B213,'Standards Crosswalk'!$A:$H,7,FALSE)</f>
        <v>3.11.1, 3.11.2, 3.11.3</v>
      </c>
      <c r="R213" s="74" t="str">
        <f>VLOOKUP($B213,'Standards Crosswalk'!$A:$H,8,FALSE)</f>
        <v>SI-2</v>
      </c>
      <c r="S213" s="74">
        <f>VLOOKUP($B213,'Standards Crosswalk'!$A:$I,9,FALSE)</f>
        <v>11.2</v>
      </c>
    </row>
    <row r="214" spans="1:19" ht="43.5" thickBot="1" x14ac:dyDescent="0.25">
      <c r="A214" s="73">
        <f t="shared" si="6"/>
        <v>212</v>
      </c>
      <c r="B214" s="79" t="s">
        <v>385</v>
      </c>
      <c r="C214" s="80" t="str">
        <f>VLOOKUP(B214,HECVAT!A:E,2,FALSE)</f>
        <v>Have your systems had an external vulnerability assessment in the last year?</v>
      </c>
      <c r="D214" s="73">
        <f>VLOOKUP(B214,HECVAT!A:E,4,FALSE)</f>
        <v>0</v>
      </c>
      <c r="E214" s="81" t="b">
        <f>IF(Table1[[#This Row],[Column11]]&gt;20,TRUE,FALSE)</f>
        <v>1</v>
      </c>
      <c r="F214" s="81" t="s">
        <v>2062</v>
      </c>
      <c r="G214" s="82" t="s">
        <v>17</v>
      </c>
      <c r="H214" s="83">
        <v>1</v>
      </c>
      <c r="I214" s="73">
        <f>VLOOKUP(B214,HECVAT!A:E,3,FALSE)</f>
        <v>0</v>
      </c>
      <c r="J214" s="73">
        <f>IF(Table1[[#This Row],[Column7]]=Table1[[#This Row],[Column9]],1,0)</f>
        <v>0</v>
      </c>
      <c r="K214" s="73">
        <f>IF(Table1[[#This Row],[Column8]]=1,25,"")</f>
        <v>25</v>
      </c>
      <c r="L214" s="73">
        <f>IF(Table1[[#This Row],[Column8]]=1,J214*K214,"")</f>
        <v>0</v>
      </c>
      <c r="M214" s="74" t="str">
        <f>VLOOKUP($B214,'Standards Crosswalk'!$A:$H,3,FALSE)</f>
        <v>CSC 4</v>
      </c>
      <c r="N214" s="74">
        <f>VLOOKUP($B214,'Standards Crosswalk'!$A:$H,4,FALSE)</f>
        <v>0</v>
      </c>
      <c r="O214" s="74">
        <f>VLOOKUP($B214,'Standards Crosswalk'!$A:$H,5,FALSE)</f>
        <v>0</v>
      </c>
      <c r="P214" s="74" t="str">
        <f>VLOOKUP($B214,'Standards Crosswalk'!$A:$H,6,FALSE)</f>
        <v>DE.CM-8</v>
      </c>
      <c r="Q214" s="74">
        <f>VLOOKUP($B214,'Standards Crosswalk'!$A:$H,7,FALSE)</f>
        <v>0</v>
      </c>
      <c r="R214" s="74" t="str">
        <f>VLOOKUP($B214,'Standards Crosswalk'!$A:$H,8,FALSE)</f>
        <v>SI-2</v>
      </c>
      <c r="S214" s="74">
        <f>VLOOKUP($B214,'Standards Crosswalk'!$A:$I,9,FALSE)</f>
        <v>11.2</v>
      </c>
    </row>
    <row r="215" spans="1:19" ht="57.75" thickBot="1" x14ac:dyDescent="0.25">
      <c r="A215" s="73">
        <f t="shared" si="6"/>
        <v>213</v>
      </c>
      <c r="B215" s="79" t="s">
        <v>386</v>
      </c>
      <c r="C215" s="80" t="str">
        <f>VLOOKUP(B215,HECVAT!A:E,2,FALSE)</f>
        <v>Describe or provide a reference to the tool(s) used to scan for vulnerabilities in your applications and systems.</v>
      </c>
      <c r="D215" s="73">
        <f>VLOOKUP(B215,HECVAT!A:E,4,FALSE)</f>
        <v>0</v>
      </c>
      <c r="E215" s="81" t="b">
        <f>IF(Table1[[#This Row],[Column11]]&gt;20,TRUE,FALSE)</f>
        <v>0</v>
      </c>
      <c r="F215" s="81" t="s">
        <v>2062</v>
      </c>
      <c r="G215" s="82" t="s">
        <v>17</v>
      </c>
      <c r="H215" s="83">
        <v>1</v>
      </c>
      <c r="I215" s="73">
        <f>VLOOKUP(B215,HECVAT!A:E,3,FALSE)</f>
        <v>0</v>
      </c>
      <c r="J215" s="73">
        <f>IF(VLOOKUP(Table1[[#This Row],[Column2]],'Analyst Report'!$A$41:$G$88,7,FALSE)="Yes",1,0)</f>
        <v>0</v>
      </c>
      <c r="K215" s="73">
        <f>IF(Table1[[#This Row],[Column8]]=1,15,"")</f>
        <v>15</v>
      </c>
      <c r="L215" s="73">
        <f>IF(Table1[[#This Row],[Column8]]=1,J215*K215,"")</f>
        <v>0</v>
      </c>
      <c r="M215" s="74" t="str">
        <f>VLOOKUP($B215,'Standards Crosswalk'!$A:$H,3,FALSE)</f>
        <v>CSC 4</v>
      </c>
      <c r="N215" s="74">
        <f>VLOOKUP($B215,'Standards Crosswalk'!$A:$H,4,FALSE)</f>
        <v>0</v>
      </c>
      <c r="O215" s="74">
        <f>VLOOKUP($B215,'Standards Crosswalk'!$A:$H,5,FALSE)</f>
        <v>0</v>
      </c>
      <c r="P215" s="74" t="str">
        <f>VLOOKUP($B215,'Standards Crosswalk'!$A:$H,6,FALSE)</f>
        <v>DE.CM-8</v>
      </c>
      <c r="Q215" s="74" t="str">
        <f>VLOOKUP($B215,'Standards Crosswalk'!$A:$H,7,FALSE)</f>
        <v>3.11.1, 3.11.2, 3.11.3</v>
      </c>
      <c r="R215" s="74" t="str">
        <f>VLOOKUP($B215,'Standards Crosswalk'!$A:$H,8,FALSE)</f>
        <v>SI-2</v>
      </c>
      <c r="S215" s="74">
        <f>VLOOKUP($B215,'Standards Crosswalk'!$A:$I,9,FALSE)</f>
        <v>11.2</v>
      </c>
    </row>
    <row r="216" spans="1:19" ht="43.5" thickBot="1" x14ac:dyDescent="0.25">
      <c r="A216" s="73">
        <f t="shared" si="6"/>
        <v>214</v>
      </c>
      <c r="B216" s="79" t="s">
        <v>387</v>
      </c>
      <c r="C216" s="80" t="str">
        <f>VLOOKUP(B216,HECVAT!A:E,2,FALSE)</f>
        <v>Will you provide results of security scans to the Institution?</v>
      </c>
      <c r="D216" s="73">
        <f>VLOOKUP(B216,HECVAT!A:E,4,FALSE)</f>
        <v>0</v>
      </c>
      <c r="E216" s="81" t="b">
        <f>IF(Table1[[#This Row],[Column11]]&gt;20,TRUE,FALSE)</f>
        <v>0</v>
      </c>
      <c r="F216" s="81" t="s">
        <v>2062</v>
      </c>
      <c r="G216" s="82" t="s">
        <v>17</v>
      </c>
      <c r="H216" s="83">
        <v>1</v>
      </c>
      <c r="I216" s="73">
        <f>VLOOKUP(B216,HECVAT!A:E,3,FALSE)</f>
        <v>0</v>
      </c>
      <c r="J216" s="73">
        <f>IF(Table1[[#This Row],[Column7]]=Table1[[#This Row],[Column9]],1,0)</f>
        <v>0</v>
      </c>
      <c r="K216" s="73">
        <f>IF(Table1[[#This Row],[Column8]]=1,15,"")</f>
        <v>15</v>
      </c>
      <c r="L216" s="73">
        <f>IF(Table1[[#This Row],[Column8]]=1,J216*K216,"")</f>
        <v>0</v>
      </c>
      <c r="M216" s="74" t="str">
        <f>VLOOKUP($B216,'Standards Crosswalk'!$A:$H,3,FALSE)</f>
        <v>CSC 4</v>
      </c>
      <c r="N216" s="74">
        <f>VLOOKUP($B216,'Standards Crosswalk'!$A:$H,4,FALSE)</f>
        <v>0</v>
      </c>
      <c r="O216" s="74">
        <f>VLOOKUP($B216,'Standards Crosswalk'!$A:$H,5,FALSE)</f>
        <v>0</v>
      </c>
      <c r="P216" s="74" t="str">
        <f>VLOOKUP($B216,'Standards Crosswalk'!$A:$H,6,FALSE)</f>
        <v>DE.CM-8</v>
      </c>
      <c r="Q216" s="74">
        <f>VLOOKUP($B216,'Standards Crosswalk'!$A:$H,7,FALSE)</f>
        <v>0</v>
      </c>
      <c r="R216" s="74" t="str">
        <f>VLOOKUP($B216,'Standards Crosswalk'!$A:$H,8,FALSE)</f>
        <v>SI-2</v>
      </c>
      <c r="S216" s="74">
        <f>VLOOKUP($B216,'Standards Crosswalk'!$A:$I,9,FALSE)</f>
        <v>11.2</v>
      </c>
    </row>
    <row r="217" spans="1:19" ht="72" thickBot="1" x14ac:dyDescent="0.25">
      <c r="A217" s="73">
        <f t="shared" si="6"/>
        <v>215</v>
      </c>
      <c r="B217" s="79" t="s">
        <v>388</v>
      </c>
      <c r="C217" s="80" t="str">
        <f>VLOOKUP(B217,HECVAT!A:E,2,FALSE)</f>
        <v>Describe or provide a reference to how you monitor for and protect against common web application security vulnerabilities (e.g. SQL injection, XSS, XSRF, etc.).</v>
      </c>
      <c r="D217" s="73">
        <f>VLOOKUP(B217,HECVAT!A:E,4,FALSE)</f>
        <v>0</v>
      </c>
      <c r="E217" s="81" t="b">
        <f>IF(Table1[[#This Row],[Column11]]&gt;20,TRUE,FALSE)</f>
        <v>0</v>
      </c>
      <c r="F217" s="81" t="s">
        <v>2062</v>
      </c>
      <c r="G217" s="82" t="s">
        <v>17</v>
      </c>
      <c r="H217" s="83">
        <v>1</v>
      </c>
      <c r="I217" s="73">
        <f>VLOOKUP(B217,HECVAT!A:E,3,FALSE)</f>
        <v>0</v>
      </c>
      <c r="J217" s="73">
        <f>IF(VLOOKUP(Table1[[#This Row],[Column2]],'Analyst Report'!$A$41:$G$88,7,FALSE)="Yes",1,0)</f>
        <v>0</v>
      </c>
      <c r="K217" s="73">
        <f>IF(Table1[[#This Row],[Column8]]=1,20,"")</f>
        <v>20</v>
      </c>
      <c r="L217" s="73">
        <f>IF(Table1[[#This Row],[Column8]]=1,J217*K217,"")</f>
        <v>0</v>
      </c>
      <c r="M217" s="74" t="str">
        <f>VLOOKUP($B217,'Standards Crosswalk'!$A:$H,3,FALSE)</f>
        <v>CSC 7, CSC 18</v>
      </c>
      <c r="N217" s="74">
        <f>VLOOKUP($B217,'Standards Crosswalk'!$A:$H,4,FALSE)</f>
        <v>0</v>
      </c>
      <c r="O217" s="74" t="str">
        <f>VLOOKUP($B217,'Standards Crosswalk'!$A:$H,5,FALSE)</f>
        <v>12.6.1</v>
      </c>
      <c r="P217" s="74" t="str">
        <f>VLOOKUP($B217,'Standards Crosswalk'!$A:$H,6,FALSE)</f>
        <v>ID.RA-1, DE.CM-8, PR.IP-12</v>
      </c>
      <c r="Q217" s="74" t="str">
        <f>VLOOKUP($B217,'Standards Crosswalk'!$A:$H,7,FALSE)</f>
        <v>3.11.1, 3.11.2, 3.11.3, 3.14.2</v>
      </c>
      <c r="R217" s="74" t="str">
        <f>VLOOKUP($B217,'Standards Crosswalk'!$A:$H,8,FALSE)</f>
        <v>SI-2</v>
      </c>
      <c r="S217" s="74" t="str">
        <f>VLOOKUP($B217,'Standards Crosswalk'!$A:$I,9,FALSE)</f>
        <v>11.2, 11.3</v>
      </c>
    </row>
    <row r="218" spans="1:19" ht="86.25" thickBot="1" x14ac:dyDescent="0.25">
      <c r="A218" s="73">
        <f t="shared" si="6"/>
        <v>216</v>
      </c>
      <c r="B218" s="79" t="s">
        <v>389</v>
      </c>
      <c r="C218" s="80" t="str">
        <f>VLOOKUP(B218,HECVAT!A:E,2,FALSE)</f>
        <v>Will you allow the institution to perform its own security testing of your systems and/or application provided that testing is performed at a mutually agreed upon time and date?</v>
      </c>
      <c r="D218" s="73">
        <f>VLOOKUP(B218,HECVAT!A:E,4,FALSE)</f>
        <v>0</v>
      </c>
      <c r="E218" s="81" t="b">
        <f>IF(Table1[[#This Row],[Column11]]&gt;20,TRUE,FALSE)</f>
        <v>1</v>
      </c>
      <c r="F218" s="81" t="s">
        <v>2062</v>
      </c>
      <c r="G218" s="82" t="s">
        <v>17</v>
      </c>
      <c r="H218" s="83">
        <v>1</v>
      </c>
      <c r="I218" s="73">
        <f>VLOOKUP(B218,HECVAT!A:E,3,FALSE)</f>
        <v>0</v>
      </c>
      <c r="J218" s="73">
        <f>IF(Table1[[#This Row],[Column7]]=Table1[[#This Row],[Column9]],1,0)</f>
        <v>0</v>
      </c>
      <c r="K218" s="73">
        <f>IF(Table1[[#This Row],[Column8]]=1,25,"")</f>
        <v>25</v>
      </c>
      <c r="L218" s="73">
        <f>IF(Table1[[#This Row],[Column8]]=1,J218*K218,"")</f>
        <v>0</v>
      </c>
      <c r="M218" s="74" t="str">
        <f>VLOOKUP($B218,'Standards Crosswalk'!$A:$H,3,FALSE)</f>
        <v>CSC 20</v>
      </c>
      <c r="N218" s="74">
        <f>VLOOKUP($B218,'Standards Crosswalk'!$A:$H,4,FALSE)</f>
        <v>0</v>
      </c>
      <c r="O218" s="74" t="str">
        <f>VLOOKUP($B218,'Standards Crosswalk'!$A:$H,5,FALSE)</f>
        <v>18.2.1</v>
      </c>
      <c r="P218" s="74" t="str">
        <f>VLOOKUP($B218,'Standards Crosswalk'!$A:$H,6,FALSE)</f>
        <v>DE.CM-8</v>
      </c>
      <c r="Q218" s="74" t="str">
        <f>VLOOKUP($B218,'Standards Crosswalk'!$A:$H,7,FALSE)</f>
        <v>3.11.1, 3.11.2, 3.11.3</v>
      </c>
      <c r="R218" s="74" t="str">
        <f>VLOOKUP($B218,'Standards Crosswalk'!$A:$H,8,FALSE)</f>
        <v>SI-2</v>
      </c>
      <c r="S218" s="74" t="str">
        <f>VLOOKUP($B218,'Standards Crosswalk'!$A:$I,9,FALSE)</f>
        <v>11.2, 12.8</v>
      </c>
    </row>
    <row r="219" spans="1:19" ht="57.75" thickBot="1" x14ac:dyDescent="0.25">
      <c r="A219" s="73">
        <f t="shared" si="6"/>
        <v>217</v>
      </c>
      <c r="B219" s="79" t="s">
        <v>390</v>
      </c>
      <c r="C219" s="80" t="str">
        <f>VLOOKUP(B219,HECVAT!A:E,2,FALSE)</f>
        <v>Do your workforce members receive regular training related to the HIPAA Privacy and Security Rules and the HITECH Act?</v>
      </c>
      <c r="D219" s="73">
        <f>VLOOKUP(B219,HECVAT!A:E,4,FALSE)</f>
        <v>0</v>
      </c>
      <c r="E219" s="81" t="b">
        <f>IF(Table1[[#This Row],[Column11]]&gt;20,TRUE,FALSE)</f>
        <v>0</v>
      </c>
      <c r="F219" s="81" t="s">
        <v>579</v>
      </c>
      <c r="G219" s="82" t="s">
        <v>17</v>
      </c>
      <c r="H219" s="83">
        <v>1</v>
      </c>
      <c r="I219" s="73">
        <f>VLOOKUP(B219,HECVAT!A:E,3,FALSE)</f>
        <v>0</v>
      </c>
      <c r="J219" s="73">
        <f>IF(Table1[[#This Row],[Column7]]=Table1[[#This Row],[Column9]],1,0)</f>
        <v>0</v>
      </c>
      <c r="K219" s="73">
        <f>IF(Table1[[#This Row],[Column8]]=1,20,"")</f>
        <v>20</v>
      </c>
      <c r="L219" s="73">
        <f>IF(Table1[[#This Row],[Column8]]=1,J219*K219,"")</f>
        <v>0</v>
      </c>
      <c r="M219" s="74" t="str">
        <f>VLOOKUP($B219,'Standards Crosswalk'!$A:$H,3,FALSE)</f>
        <v>CSC 17</v>
      </c>
      <c r="N219" s="74" t="str">
        <f>VLOOKUP($B219,'Standards Crosswalk'!$A:$H,4,FALSE)</f>
        <v>§164.308(a)(5)(i)</v>
      </c>
      <c r="O219" s="74" t="str">
        <f>VLOOKUP($B219,'Standards Crosswalk'!$A:$H,5,FALSE)</f>
        <v>18.1.1, 7.2.2</v>
      </c>
      <c r="P219" s="74" t="str">
        <f>VLOOKUP($B219,'Standards Crosswalk'!$A:$H,6,FALSE)</f>
        <v>ID.GV-3</v>
      </c>
      <c r="Q219" s="74" t="str">
        <f>VLOOKUP($B219,'Standards Crosswalk'!$A:$H,7,FALSE)</f>
        <v>3.2.2</v>
      </c>
      <c r="R219" s="74" t="str">
        <f>VLOOKUP($B219,'Standards Crosswalk'!$A:$H,8,FALSE)</f>
        <v>AT-3</v>
      </c>
      <c r="S219" s="74">
        <f>VLOOKUP($B219,'Standards Crosswalk'!$A:$I,9,FALSE)</f>
        <v>0</v>
      </c>
    </row>
    <row r="220" spans="1:19" ht="43.5" thickBot="1" x14ac:dyDescent="0.25">
      <c r="A220" s="73">
        <f t="shared" si="6"/>
        <v>218</v>
      </c>
      <c r="B220" s="79" t="s">
        <v>391</v>
      </c>
      <c r="C220" s="80" t="str">
        <f>VLOOKUP(B220,HECVAT!A:E,2,FALSE)</f>
        <v>Do you monitor or receive information regarding changes in HIPAA regulations?</v>
      </c>
      <c r="D220" s="73">
        <f>VLOOKUP(B220,HECVAT!A:E,4,FALSE)</f>
        <v>0</v>
      </c>
      <c r="E220" s="81" t="b">
        <f>IF(Table1[[#This Row],[Column11]]&gt;20,TRUE,FALSE)</f>
        <v>0</v>
      </c>
      <c r="F220" s="81" t="s">
        <v>579</v>
      </c>
      <c r="G220" s="82" t="s">
        <v>17</v>
      </c>
      <c r="H220" s="83">
        <v>1</v>
      </c>
      <c r="I220" s="73">
        <f>VLOOKUP(B220,HECVAT!A:E,3,FALSE)</f>
        <v>0</v>
      </c>
      <c r="J220" s="73">
        <f>IF(Table1[[#This Row],[Column7]]=Table1[[#This Row],[Column9]],1,0)</f>
        <v>0</v>
      </c>
      <c r="K220" s="73">
        <f>IF(Table1[[#This Row],[Column8]]=1,20,"")</f>
        <v>20</v>
      </c>
      <c r="L220" s="73">
        <f>IF(Table1[[#This Row],[Column8]]=1,J220*K220,"")</f>
        <v>0</v>
      </c>
      <c r="M220" s="74" t="str">
        <f>VLOOKUP($B220,'Standards Crosswalk'!$A:$H,3,FALSE)</f>
        <v>CSC 13</v>
      </c>
      <c r="N220" s="74" t="str">
        <f>VLOOKUP($B220,'Standards Crosswalk'!$A:$H,4,FALSE)</f>
        <v>§164.316(b)(2)(iii)</v>
      </c>
      <c r="O220" s="74" t="str">
        <f>VLOOKUP($B220,'Standards Crosswalk'!$A:$H,5,FALSE)</f>
        <v>18.1.1</v>
      </c>
      <c r="P220" s="74" t="str">
        <f>VLOOKUP($B220,'Standards Crosswalk'!$A:$H,6,FALSE)</f>
        <v>ID.GV-3</v>
      </c>
      <c r="Q220" s="74">
        <f>VLOOKUP($B220,'Standards Crosswalk'!$A:$H,7,FALSE)</f>
        <v>0</v>
      </c>
      <c r="R220" s="74">
        <f>VLOOKUP($B220,'Standards Crosswalk'!$A:$H,8,FALSE)</f>
        <v>0</v>
      </c>
      <c r="S220" s="74">
        <f>VLOOKUP($B220,'Standards Crosswalk'!$A:$I,9,FALSE)</f>
        <v>0</v>
      </c>
    </row>
    <row r="221" spans="1:19" ht="43.5" thickBot="1" x14ac:dyDescent="0.25">
      <c r="A221" s="73">
        <f t="shared" si="6"/>
        <v>219</v>
      </c>
      <c r="B221" s="79" t="s">
        <v>392</v>
      </c>
      <c r="C221" s="80" t="str">
        <f>VLOOKUP(B221,HECVAT!A:E,2,FALSE)</f>
        <v>Has your organization designated HIPAA Privacy and Security officers as required by the Rules?</v>
      </c>
      <c r="D221" s="73">
        <f>VLOOKUP(B221,HECVAT!A:E,4,FALSE)</f>
        <v>0</v>
      </c>
      <c r="E221" s="81" t="b">
        <f>IF(Table1[[#This Row],[Column11]]&gt;20,TRUE,FALSE)</f>
        <v>1</v>
      </c>
      <c r="F221" s="81" t="s">
        <v>579</v>
      </c>
      <c r="G221" s="82" t="s">
        <v>17</v>
      </c>
      <c r="H221" s="83">
        <v>1</v>
      </c>
      <c r="I221" s="73">
        <f>VLOOKUP(B221,HECVAT!A:E,3,FALSE)</f>
        <v>0</v>
      </c>
      <c r="J221" s="73">
        <f>IF(Table1[[#This Row],[Column7]]=Table1[[#This Row],[Column9]],1,0)</f>
        <v>0</v>
      </c>
      <c r="K221" s="73">
        <f>IF(Table1[[#This Row],[Column8]]=1,25,"")</f>
        <v>25</v>
      </c>
      <c r="L221" s="73">
        <f>IF(Table1[[#This Row],[Column8]]=1,J221*K221,"")</f>
        <v>0</v>
      </c>
      <c r="M221" s="74" t="str">
        <f>VLOOKUP($B221,'Standards Crosswalk'!$A:$H,3,FALSE)</f>
        <v>CSC 17</v>
      </c>
      <c r="N221" s="74" t="str">
        <f>VLOOKUP($B221,'Standards Crosswalk'!$A:$H,4,FALSE)</f>
        <v>§164.308(a)(2)</v>
      </c>
      <c r="O221" s="74" t="str">
        <f>VLOOKUP($B221,'Standards Crosswalk'!$A:$H,5,FALSE)</f>
        <v>18.1.1</v>
      </c>
      <c r="P221" s="74" t="str">
        <f>VLOOKUP($B221,'Standards Crosswalk'!$A:$H,6,FALSE)</f>
        <v>ID.GV-3</v>
      </c>
      <c r="Q221" s="74">
        <f>VLOOKUP($B221,'Standards Crosswalk'!$A:$H,7,FALSE)</f>
        <v>0</v>
      </c>
      <c r="R221" s="74">
        <f>VLOOKUP($B221,'Standards Crosswalk'!$A:$H,8,FALSE)</f>
        <v>0</v>
      </c>
      <c r="S221" s="74">
        <f>VLOOKUP($B221,'Standards Crosswalk'!$A:$I,9,FALSE)</f>
        <v>0</v>
      </c>
    </row>
    <row r="222" spans="1:19" ht="72" thickBot="1" x14ac:dyDescent="0.25">
      <c r="A222" s="73">
        <f t="shared" si="6"/>
        <v>220</v>
      </c>
      <c r="B222" s="79" t="s">
        <v>393</v>
      </c>
      <c r="C222" s="80" t="str">
        <f>VLOOKUP(B222,HECVAT!A:E,2,FALSE)</f>
        <v>Do you comply with the requirements of the Health Information Technology for Economic and Clinical Health Act (HITECH)?</v>
      </c>
      <c r="D222" s="73">
        <f>VLOOKUP(B222,HECVAT!A:E,4,FALSE)</f>
        <v>0</v>
      </c>
      <c r="E222" s="81" t="b">
        <f>IF(Table1[[#This Row],[Column11]]&gt;20,TRUE,FALSE)</f>
        <v>1</v>
      </c>
      <c r="F222" s="81" t="s">
        <v>579</v>
      </c>
      <c r="G222" s="82" t="s">
        <v>17</v>
      </c>
      <c r="H222" s="83">
        <v>1</v>
      </c>
      <c r="I222" s="73">
        <f>VLOOKUP(B222,HECVAT!A:E,3,FALSE)</f>
        <v>0</v>
      </c>
      <c r="J222" s="73">
        <f>IF(Table1[[#This Row],[Column7]]=Table1[[#This Row],[Column9]],1,0)</f>
        <v>0</v>
      </c>
      <c r="K222" s="73">
        <f>IF(Table1[[#This Row],[Column8]]=1,25,"")</f>
        <v>25</v>
      </c>
      <c r="L222" s="73">
        <f>IF(Table1[[#This Row],[Column8]]=1,J222*K222,"")</f>
        <v>0</v>
      </c>
      <c r="M222" s="74" t="str">
        <f>VLOOKUP($B222,'Standards Crosswalk'!$A:$H,3,FALSE)</f>
        <v>CSC 13</v>
      </c>
      <c r="N222" s="74">
        <f>VLOOKUP($B222,'Standards Crosswalk'!$A:$H,4,FALSE)</f>
        <v>0</v>
      </c>
      <c r="O222" s="74" t="str">
        <f>VLOOKUP($B222,'Standards Crosswalk'!$A:$H,5,FALSE)</f>
        <v>18.1.1</v>
      </c>
      <c r="P222" s="74" t="str">
        <f>VLOOKUP($B222,'Standards Crosswalk'!$A:$H,6,FALSE)</f>
        <v>ID.GV-3</v>
      </c>
      <c r="Q222" s="74">
        <f>VLOOKUP($B222,'Standards Crosswalk'!$A:$H,7,FALSE)</f>
        <v>0</v>
      </c>
      <c r="R222" s="74">
        <f>VLOOKUP($B222,'Standards Crosswalk'!$A:$H,8,FALSE)</f>
        <v>0</v>
      </c>
      <c r="S222" s="74">
        <f>VLOOKUP($B222,'Standards Crosswalk'!$A:$I,9,FALSE)</f>
        <v>0</v>
      </c>
    </row>
    <row r="223" spans="1:19" ht="57.75" thickBot="1" x14ac:dyDescent="0.25">
      <c r="A223" s="73">
        <f t="shared" si="6"/>
        <v>221</v>
      </c>
      <c r="B223" s="79" t="s">
        <v>394</v>
      </c>
      <c r="C223" s="80" t="str">
        <f>VLOOKUP(B223,HECVAT!A:E,2,FALSE)</f>
        <v>Do you have an incident response process and reporting in place to investigate any potential incidents and report actual incidents?</v>
      </c>
      <c r="D223" s="73">
        <f>VLOOKUP(B223,HECVAT!A:E,4,FALSE)</f>
        <v>0</v>
      </c>
      <c r="E223" s="81" t="b">
        <f>IF(Table1[[#This Row],[Column11]]&gt;20,TRUE,FALSE)</f>
        <v>0</v>
      </c>
      <c r="F223" s="81" t="s">
        <v>579</v>
      </c>
      <c r="G223" s="82" t="s">
        <v>17</v>
      </c>
      <c r="H223" s="83">
        <v>1</v>
      </c>
      <c r="I223" s="73">
        <f>VLOOKUP(B223,HECVAT!A:E,3,FALSE)</f>
        <v>0</v>
      </c>
      <c r="J223" s="73">
        <f>IF(Table1[[#This Row],[Column7]]=Table1[[#This Row],[Column9]],1,0)</f>
        <v>0</v>
      </c>
      <c r="K223" s="73">
        <f>IF(Table1[[#This Row],[Column8]]=1,20,"")</f>
        <v>20</v>
      </c>
      <c r="L223" s="73">
        <f>IF(Table1[[#This Row],[Column8]]=1,J223*K223,"")</f>
        <v>0</v>
      </c>
      <c r="M223" s="74" t="str">
        <f>VLOOKUP($B223,'Standards Crosswalk'!$A:$H,3,FALSE)</f>
        <v>CSC 19</v>
      </c>
      <c r="N223" s="74" t="str">
        <f>VLOOKUP($B223,'Standards Crosswalk'!$A:$H,4,FALSE)</f>
        <v>§164.308(a)(6)(i)</v>
      </c>
      <c r="O223" s="74" t="str">
        <f>VLOOKUP($B223,'Standards Crosswalk'!$A:$H,5,FALSE)</f>
        <v>16.1.1</v>
      </c>
      <c r="P223" s="74" t="str">
        <f>VLOOKUP($B223,'Standards Crosswalk'!$A:$H,6,FALSE)</f>
        <v>ID.GV-3</v>
      </c>
      <c r="Q223" s="74" t="str">
        <f>VLOOKUP($B223,'Standards Crosswalk'!$A:$H,7,FALSE)</f>
        <v>3.6.1, 3.14.1</v>
      </c>
      <c r="R223" s="74" t="str">
        <f>VLOOKUP($B223,'Standards Crosswalk'!$A:$H,8,FALSE)</f>
        <v>IR-2, IR-4, IR-5, IR-7</v>
      </c>
      <c r="S223" s="74" t="str">
        <f>VLOOKUP($B223,'Standards Crosswalk'!$A:$I,9,FALSE)</f>
        <v>12.10, 10.10</v>
      </c>
    </row>
    <row r="224" spans="1:19" ht="43.5" thickBot="1" x14ac:dyDescent="0.25">
      <c r="A224" s="73">
        <f t="shared" si="6"/>
        <v>222</v>
      </c>
      <c r="B224" s="79" t="s">
        <v>395</v>
      </c>
      <c r="C224" s="80" t="str">
        <f>VLOOKUP(B224,HECVAT!A:E,2,FALSE)</f>
        <v>Do you have a plan to comply with the Breach Notification requirements if there is a breach of data?</v>
      </c>
      <c r="D224" s="73">
        <f>VLOOKUP(B224,HECVAT!A:E,4,FALSE)</f>
        <v>0</v>
      </c>
      <c r="E224" s="81" t="b">
        <f>IF(Table1[[#This Row],[Column11]]&gt;20,TRUE,FALSE)</f>
        <v>1</v>
      </c>
      <c r="F224" s="81" t="s">
        <v>579</v>
      </c>
      <c r="G224" s="82" t="s">
        <v>17</v>
      </c>
      <c r="H224" s="83">
        <v>1</v>
      </c>
      <c r="I224" s="73">
        <f>VLOOKUP(B224,HECVAT!A:E,3,FALSE)</f>
        <v>0</v>
      </c>
      <c r="J224" s="73">
        <f>IF(Table1[[#This Row],[Column7]]=Table1[[#This Row],[Column9]],1,0)</f>
        <v>0</v>
      </c>
      <c r="K224" s="73">
        <f>IF(Table1[[#This Row],[Column8]]=1,25,"")</f>
        <v>25</v>
      </c>
      <c r="L224" s="73">
        <f>IF(Table1[[#This Row],[Column8]]=1,J224*K224,"")</f>
        <v>0</v>
      </c>
      <c r="M224" s="74" t="str">
        <f>VLOOKUP($B224,'Standards Crosswalk'!$A:$H,3,FALSE)</f>
        <v>CSC 19</v>
      </c>
      <c r="N224" s="74" t="str">
        <f>VLOOKUP($B224,'Standards Crosswalk'!$A:$H,4,FALSE)</f>
        <v>§164.308(a)(6)(ii)</v>
      </c>
      <c r="O224" s="74" t="str">
        <f>VLOOKUP($B224,'Standards Crosswalk'!$A:$H,5,FALSE)</f>
        <v>16.1.2, 16.1.5, 18.1.1</v>
      </c>
      <c r="P224" s="74" t="str">
        <f>VLOOKUP($B224,'Standards Crosswalk'!$A:$H,6,FALSE)</f>
        <v>ID.GV-3</v>
      </c>
      <c r="Q224" s="74" t="str">
        <f>VLOOKUP($B224,'Standards Crosswalk'!$A:$H,7,FALSE)</f>
        <v>3.6.2, 3.12.2</v>
      </c>
      <c r="R224" s="74" t="str">
        <f>VLOOKUP($B224,'Standards Crosswalk'!$A:$H,8,FALSE)</f>
        <v>IR-6</v>
      </c>
      <c r="S224" s="74">
        <f>VLOOKUP($B224,'Standards Crosswalk'!$A:$I,9,FALSE)</f>
        <v>12.8</v>
      </c>
    </row>
    <row r="225" spans="1:19" ht="29.25" thickBot="1" x14ac:dyDescent="0.25">
      <c r="A225" s="73">
        <f t="shared" si="6"/>
        <v>223</v>
      </c>
      <c r="B225" s="79" t="s">
        <v>396</v>
      </c>
      <c r="C225" s="80" t="str">
        <f>VLOOKUP(B225,HECVAT!A:E,2,FALSE)</f>
        <v>Have you conducted a risk analysis as required under the Security Rule?</v>
      </c>
      <c r="D225" s="73">
        <f>VLOOKUP(B225,HECVAT!A:E,4,FALSE)</f>
        <v>0</v>
      </c>
      <c r="E225" s="81" t="b">
        <f>IF(Table1[[#This Row],[Column11]]&gt;20,TRUE,FALSE)</f>
        <v>1</v>
      </c>
      <c r="F225" s="81" t="s">
        <v>579</v>
      </c>
      <c r="G225" s="82" t="s">
        <v>17</v>
      </c>
      <c r="H225" s="83">
        <v>1</v>
      </c>
      <c r="I225" s="73">
        <f>VLOOKUP(B225,HECVAT!A:E,3,FALSE)</f>
        <v>0</v>
      </c>
      <c r="J225" s="73">
        <f>IF(Table1[[#This Row],[Column7]]=Table1[[#This Row],[Column9]],1,0)</f>
        <v>0</v>
      </c>
      <c r="K225" s="73">
        <f>IF(Table1[[#This Row],[Column8]]=1,25,"")</f>
        <v>25</v>
      </c>
      <c r="L225" s="73">
        <f>IF(Table1[[#This Row],[Column8]]=1,J225*K225,"")</f>
        <v>0</v>
      </c>
      <c r="M225" s="74" t="str">
        <f>VLOOKUP($B225,'Standards Crosswalk'!$A:$H,3,FALSE)</f>
        <v>CSC 13</v>
      </c>
      <c r="N225" s="74" t="str">
        <f>VLOOKUP($B225,'Standards Crosswalk'!$A:$H,4,FALSE)</f>
        <v>§164.308(a)(1)(i)</v>
      </c>
      <c r="O225" s="74">
        <f>VLOOKUP($B225,'Standards Crosswalk'!$A:$H,5,FALSE)</f>
        <v>0</v>
      </c>
      <c r="P225" s="74" t="str">
        <f>VLOOKUP($B225,'Standards Crosswalk'!$A:$H,6,FALSE)</f>
        <v>ID.GV-3</v>
      </c>
      <c r="Q225" s="74">
        <f>VLOOKUP($B225,'Standards Crosswalk'!$A:$H,7,FALSE)</f>
        <v>0</v>
      </c>
      <c r="R225" s="74">
        <f>VLOOKUP($B225,'Standards Crosswalk'!$A:$H,8,FALSE)</f>
        <v>0</v>
      </c>
      <c r="S225" s="74">
        <f>VLOOKUP($B225,'Standards Crosswalk'!$A:$I,9,FALSE)</f>
        <v>12.2</v>
      </c>
    </row>
    <row r="226" spans="1:19" ht="57.75" thickBot="1" x14ac:dyDescent="0.25">
      <c r="A226" s="73">
        <f t="shared" si="6"/>
        <v>224</v>
      </c>
      <c r="B226" s="79" t="s">
        <v>397</v>
      </c>
      <c r="C226" s="80" t="str">
        <f>VLOOKUP(B226,HECVAT!A:E,2,FALSE)</f>
        <v>Have you identified areas of risks?</v>
      </c>
      <c r="D226" s="73">
        <f>VLOOKUP(B226,HECVAT!A:E,4,FALSE)</f>
        <v>0</v>
      </c>
      <c r="E226" s="81" t="b">
        <f>IF(Table1[[#This Row],[Column11]]&gt;20,TRUE,FALSE)</f>
        <v>0</v>
      </c>
      <c r="F226" s="81" t="s">
        <v>579</v>
      </c>
      <c r="G226" s="82" t="s">
        <v>17</v>
      </c>
      <c r="H226" s="83">
        <v>1</v>
      </c>
      <c r="I226" s="73">
        <f>VLOOKUP(B226,HECVAT!A:E,3,FALSE)</f>
        <v>0</v>
      </c>
      <c r="J226" s="73">
        <f>IF(Table1[[#This Row],[Column7]]=Table1[[#This Row],[Column9]],1,0)</f>
        <v>0</v>
      </c>
      <c r="K226" s="73">
        <f>IF(Table1[[#This Row],[Column8]]=1,20,"")</f>
        <v>20</v>
      </c>
      <c r="L226" s="73">
        <f>IF(Table1[[#This Row],[Column8]]=1,J226*K226,"")</f>
        <v>0</v>
      </c>
      <c r="M226" s="74" t="str">
        <f>VLOOKUP($B226,'Standards Crosswalk'!$A:$H,3,FALSE)</f>
        <v>CSC 4</v>
      </c>
      <c r="N226" s="74" t="str">
        <f>VLOOKUP($B226,'Standards Crosswalk'!$A:$H,4,FALSE)</f>
        <v>§164.308(a)(1)(i), §164.308(a)(1)(ii)(A)</v>
      </c>
      <c r="O226" s="74">
        <f>VLOOKUP($B226,'Standards Crosswalk'!$A:$H,5,FALSE)</f>
        <v>0</v>
      </c>
      <c r="P226" s="74" t="str">
        <f>VLOOKUP($B226,'Standards Crosswalk'!$A:$H,6,FALSE)</f>
        <v>ID.GV-3</v>
      </c>
      <c r="Q226" s="74">
        <f>VLOOKUP($B226,'Standards Crosswalk'!$A:$H,7,FALSE)</f>
        <v>0</v>
      </c>
      <c r="R226" s="74">
        <f>VLOOKUP($B226,'Standards Crosswalk'!$A:$H,8,FALSE)</f>
        <v>0</v>
      </c>
      <c r="S226" s="74">
        <f>VLOOKUP($B226,'Standards Crosswalk'!$A:$I,9,FALSE)</f>
        <v>12.2</v>
      </c>
    </row>
    <row r="227" spans="1:19" ht="29.25" thickBot="1" x14ac:dyDescent="0.25">
      <c r="A227" s="73">
        <f t="shared" si="6"/>
        <v>225</v>
      </c>
      <c r="B227" s="79" t="s">
        <v>398</v>
      </c>
      <c r="C227" s="80" t="str">
        <f>VLOOKUP(B227,HECVAT!A:E,2,FALSE)</f>
        <v>Have you taken actions to mitigate the identified risks?</v>
      </c>
      <c r="D227" s="73">
        <f>VLOOKUP(B227,HECVAT!A:E,4,FALSE)</f>
        <v>0</v>
      </c>
      <c r="E227" s="81" t="b">
        <f>IF(Table1[[#This Row],[Column11]]&gt;20,TRUE,FALSE)</f>
        <v>0</v>
      </c>
      <c r="F227" s="81" t="s">
        <v>579</v>
      </c>
      <c r="G227" s="82" t="s">
        <v>17</v>
      </c>
      <c r="H227" s="83">
        <v>1</v>
      </c>
      <c r="I227" s="73">
        <f>VLOOKUP(B227,HECVAT!A:E,3,FALSE)</f>
        <v>0</v>
      </c>
      <c r="J227" s="73">
        <f>IF(Table1[[#This Row],[Column7]]=Table1[[#This Row],[Column9]],1,0)</f>
        <v>0</v>
      </c>
      <c r="K227" s="73">
        <f>IF(Table1[[#This Row],[Column8]]=1,20,"")</f>
        <v>20</v>
      </c>
      <c r="L227" s="73">
        <f>IF(Table1[[#This Row],[Column8]]=1,J227*K227,"")</f>
        <v>0</v>
      </c>
      <c r="M227" s="74" t="str">
        <f>VLOOKUP($B227,'Standards Crosswalk'!$A:$H,3,FALSE)</f>
        <v>CSC 4</v>
      </c>
      <c r="N227" s="74" t="str">
        <f>VLOOKUP($B227,'Standards Crosswalk'!$A:$H,4,FALSE)</f>
        <v>§164.308(a)(1)(ii)(B)</v>
      </c>
      <c r="O227" s="74">
        <f>VLOOKUP($B227,'Standards Crosswalk'!$A:$H,5,FALSE)</f>
        <v>0</v>
      </c>
      <c r="P227" s="74" t="str">
        <f>VLOOKUP($B227,'Standards Crosswalk'!$A:$H,6,FALSE)</f>
        <v>ID.GV-3</v>
      </c>
      <c r="Q227" s="74">
        <f>VLOOKUP($B227,'Standards Crosswalk'!$A:$H,7,FALSE)</f>
        <v>0</v>
      </c>
      <c r="R227" s="74">
        <f>VLOOKUP($B227,'Standards Crosswalk'!$A:$H,8,FALSE)</f>
        <v>0</v>
      </c>
      <c r="S227" s="74">
        <f>VLOOKUP($B227,'Standards Crosswalk'!$A:$I,9,FALSE)</f>
        <v>12.2</v>
      </c>
    </row>
    <row r="228" spans="1:19" ht="57.75" thickBot="1" x14ac:dyDescent="0.25">
      <c r="A228" s="73">
        <f t="shared" si="6"/>
        <v>226</v>
      </c>
      <c r="B228" s="79" t="s">
        <v>399</v>
      </c>
      <c r="C228" s="80" t="str">
        <f>VLOOKUP(B228,HECVAT!A:E,2,FALSE)</f>
        <v>Does your application require user and system administrator password changes at a frequency no greater than 90 days?</v>
      </c>
      <c r="D228" s="73">
        <f>VLOOKUP(B228,HECVAT!A:E,4,FALSE)</f>
        <v>0</v>
      </c>
      <c r="E228" s="81" t="b">
        <f>IF(Table1[[#This Row],[Column11]]&gt;20,TRUE,FALSE)</f>
        <v>0</v>
      </c>
      <c r="F228" s="81" t="s">
        <v>579</v>
      </c>
      <c r="G228" s="82" t="s">
        <v>17</v>
      </c>
      <c r="H228" s="83">
        <v>1</v>
      </c>
      <c r="I228" s="73">
        <f>VLOOKUP(B228,HECVAT!A:E,3,FALSE)</f>
        <v>0</v>
      </c>
      <c r="J228" s="73">
        <f>IF(Table1[[#This Row],[Column7]]=Table1[[#This Row],[Column9]],1,0)</f>
        <v>0</v>
      </c>
      <c r="K228" s="73">
        <f>IF(Table1[[#This Row],[Column8]]=1,20,"")</f>
        <v>20</v>
      </c>
      <c r="L228" s="73">
        <f>IF(Table1[[#This Row],[Column8]]=1,J228*K228,"")</f>
        <v>0</v>
      </c>
      <c r="M228" s="74" t="str">
        <f>VLOOKUP($B228,'Standards Crosswalk'!$A:$H,3,FALSE)</f>
        <v>CSC 16</v>
      </c>
      <c r="N228" s="74" t="str">
        <f>VLOOKUP($B228,'Standards Crosswalk'!$A:$H,4,FALSE)</f>
        <v>§164.308(a)(5)(ii)(D)</v>
      </c>
      <c r="O228" s="74" t="str">
        <f>VLOOKUP($B228,'Standards Crosswalk'!$A:$H,5,FALSE)</f>
        <v>9.4.3</v>
      </c>
      <c r="P228" s="74" t="str">
        <f>VLOOKUP($B228,'Standards Crosswalk'!$A:$H,6,FALSE)</f>
        <v>ID.GV-3</v>
      </c>
      <c r="Q228" s="74" t="str">
        <f>VLOOKUP($B228,'Standards Crosswalk'!$A:$H,7,FALSE)</f>
        <v>3.5.6</v>
      </c>
      <c r="R228" s="74" t="str">
        <f>VLOOKUP($B228,'Standards Crosswalk'!$A:$H,8,FALSE)</f>
        <v>IA-4</v>
      </c>
      <c r="S228" s="74">
        <f>VLOOKUP($B228,'Standards Crosswalk'!$A:$I,9,FALSE)</f>
        <v>0</v>
      </c>
    </row>
    <row r="229" spans="1:19" ht="57.75" thickBot="1" x14ac:dyDescent="0.25">
      <c r="A229" s="73">
        <f t="shared" si="6"/>
        <v>227</v>
      </c>
      <c r="B229" s="79" t="s">
        <v>400</v>
      </c>
      <c r="C229" s="80" t="str">
        <f>VLOOKUP(B229,HECVAT!A:E,2,FALSE)</f>
        <v>Does your application require a user to set their own password after an administrator reset or on first use of the account?</v>
      </c>
      <c r="D229" s="73">
        <f>VLOOKUP(B229,HECVAT!A:E,4,FALSE)</f>
        <v>0</v>
      </c>
      <c r="E229" s="81" t="b">
        <f>IF(Table1[[#This Row],[Column11]]&gt;20,TRUE,FALSE)</f>
        <v>0</v>
      </c>
      <c r="F229" s="81" t="s">
        <v>579</v>
      </c>
      <c r="G229" s="82" t="s">
        <v>17</v>
      </c>
      <c r="H229" s="83">
        <v>1</v>
      </c>
      <c r="I229" s="73">
        <f>VLOOKUP(B229,HECVAT!A:E,3,FALSE)</f>
        <v>0</v>
      </c>
      <c r="J229" s="73">
        <f>IF(Table1[[#This Row],[Column7]]=Table1[[#This Row],[Column9]],1,0)</f>
        <v>0</v>
      </c>
      <c r="K229" s="73">
        <f>IF(Table1[[#This Row],[Column8]]=1,20,"")</f>
        <v>20</v>
      </c>
      <c r="L229" s="73">
        <f>IF(Table1[[#This Row],[Column8]]=1,J229*K229,"")</f>
        <v>0</v>
      </c>
      <c r="M229" s="74" t="str">
        <f>VLOOKUP($B229,'Standards Crosswalk'!$A:$H,3,FALSE)</f>
        <v>CSC 16</v>
      </c>
      <c r="N229" s="74" t="str">
        <f>VLOOKUP($B229,'Standards Crosswalk'!$A:$H,4,FALSE)</f>
        <v>§164.308(a)(5)(ii)(D)</v>
      </c>
      <c r="O229" s="74" t="str">
        <f>VLOOKUP($B229,'Standards Crosswalk'!$A:$H,5,FALSE)</f>
        <v>9.4.3</v>
      </c>
      <c r="P229" s="74" t="str">
        <f>VLOOKUP($B229,'Standards Crosswalk'!$A:$H,6,FALSE)</f>
        <v>ID.GV-3</v>
      </c>
      <c r="Q229" s="74" t="str">
        <f>VLOOKUP($B229,'Standards Crosswalk'!$A:$H,7,FALSE)</f>
        <v>3.5.9</v>
      </c>
      <c r="R229" s="74" t="str">
        <f>VLOOKUP($B229,'Standards Crosswalk'!$A:$H,8,FALSE)</f>
        <v>IA-5(1)</v>
      </c>
      <c r="S229" s="74">
        <f>VLOOKUP($B229,'Standards Crosswalk'!$A:$I,9,FALSE)</f>
        <v>0</v>
      </c>
    </row>
    <row r="230" spans="1:19" ht="86.25" thickBot="1" x14ac:dyDescent="0.25">
      <c r="A230" s="73">
        <f t="shared" si="6"/>
        <v>228</v>
      </c>
      <c r="B230" s="79" t="s">
        <v>401</v>
      </c>
      <c r="C230" s="80" t="str">
        <f>VLOOKUP(B230,HECVAT!A:E,2,FALSE)</f>
        <v xml:space="preserve">Does your application lock-out an account after a number of failed login attempts? </v>
      </c>
      <c r="D230" s="73">
        <f>VLOOKUP(B230,HECVAT!A:E,4,FALSE)</f>
        <v>0</v>
      </c>
      <c r="E230" s="81" t="b">
        <f>IF(Table1[[#This Row],[Column11]]&gt;20,TRUE,FALSE)</f>
        <v>0</v>
      </c>
      <c r="F230" s="81" t="s">
        <v>579</v>
      </c>
      <c r="G230" s="82" t="s">
        <v>17</v>
      </c>
      <c r="H230" s="83">
        <v>1</v>
      </c>
      <c r="I230" s="73">
        <f>VLOOKUP(B230,HECVAT!A:E,3,FALSE)</f>
        <v>0</v>
      </c>
      <c r="J230" s="73">
        <f>IF(Table1[[#This Row],[Column7]]=Table1[[#This Row],[Column9]],1,0)</f>
        <v>0</v>
      </c>
      <c r="K230" s="73">
        <f>IF(Table1[[#This Row],[Column8]]=1,20,"")</f>
        <v>20</v>
      </c>
      <c r="L230" s="73">
        <f>IF(Table1[[#This Row],[Column8]]=1,J230*K230,"")</f>
        <v>0</v>
      </c>
      <c r="M230" s="74" t="str">
        <f>VLOOKUP($B230,'Standards Crosswalk'!$A:$H,3,FALSE)</f>
        <v>CSC 16</v>
      </c>
      <c r="N230" s="74" t="str">
        <f>VLOOKUP($B230,'Standards Crosswalk'!$A:$H,4,FALSE)</f>
        <v>§164.308(a)(4), §164.312(a)(2)(ii),  
§164.312(a)(2)(iii)</v>
      </c>
      <c r="O230" s="74" t="str">
        <f>VLOOKUP($B230,'Standards Crosswalk'!$A:$H,5,FALSE)</f>
        <v>9.4.3</v>
      </c>
      <c r="P230" s="74" t="str">
        <f>VLOOKUP($B230,'Standards Crosswalk'!$A:$H,6,FALSE)</f>
        <v>ID.GV-3</v>
      </c>
      <c r="Q230" s="74" t="str">
        <f>VLOOKUP($B230,'Standards Crosswalk'!$A:$H,7,FALSE)</f>
        <v>3.1.8</v>
      </c>
      <c r="R230" s="74" t="str">
        <f>VLOOKUP($B230,'Standards Crosswalk'!$A:$H,8,FALSE)</f>
        <v>AC-7</v>
      </c>
      <c r="S230" s="74">
        <f>VLOOKUP($B230,'Standards Crosswalk'!$A:$I,9,FALSE)</f>
        <v>0</v>
      </c>
    </row>
    <row r="231" spans="1:19" ht="86.25" thickBot="1" x14ac:dyDescent="0.25">
      <c r="A231" s="73">
        <f t="shared" si="6"/>
        <v>229</v>
      </c>
      <c r="B231" s="79" t="s">
        <v>402</v>
      </c>
      <c r="C231" s="80" t="str">
        <f>VLOOKUP(B231,HECVAT!A:E,2,FALSE)</f>
        <v>Does your application automatically lock or log-out an account after a period of inactivity?</v>
      </c>
      <c r="D231" s="73">
        <f>VLOOKUP(B231,HECVAT!A:E,4,FALSE)</f>
        <v>0</v>
      </c>
      <c r="E231" s="81" t="b">
        <f>IF(Table1[[#This Row],[Column11]]&gt;20,TRUE,FALSE)</f>
        <v>0</v>
      </c>
      <c r="F231" s="81" t="s">
        <v>579</v>
      </c>
      <c r="G231" s="82" t="s">
        <v>17</v>
      </c>
      <c r="H231" s="83">
        <v>1</v>
      </c>
      <c r="I231" s="73">
        <f>VLOOKUP(B231,HECVAT!A:E,3,FALSE)</f>
        <v>0</v>
      </c>
      <c r="J231" s="73">
        <f>IF(Table1[[#This Row],[Column7]]=Table1[[#This Row],[Column9]],1,0)</f>
        <v>0</v>
      </c>
      <c r="K231" s="73">
        <f>IF(Table1[[#This Row],[Column8]]=1,20,"")</f>
        <v>20</v>
      </c>
      <c r="L231" s="73">
        <f>IF(Table1[[#This Row],[Column8]]=1,J231*K231,"")</f>
        <v>0</v>
      </c>
      <c r="M231" s="74" t="str">
        <f>VLOOKUP($B231,'Standards Crosswalk'!$A:$H,3,FALSE)</f>
        <v>CSC 16</v>
      </c>
      <c r="N231" s="74" t="str">
        <f>VLOOKUP($B231,'Standards Crosswalk'!$A:$H,4,FALSE)</f>
        <v>§164.308(a)(4),
§164.312(a)(2)(ii), §164.312(a)(2)(iii)</v>
      </c>
      <c r="O231" s="74" t="str">
        <f>VLOOKUP($B231,'Standards Crosswalk'!$A:$H,5,FALSE)</f>
        <v>9.4.3</v>
      </c>
      <c r="P231" s="74" t="str">
        <f>VLOOKUP($B231,'Standards Crosswalk'!$A:$H,6,FALSE)</f>
        <v>ID.GV-3</v>
      </c>
      <c r="Q231" s="74" t="str">
        <f>VLOOKUP($B231,'Standards Crosswalk'!$A:$H,7,FALSE)</f>
        <v>3.1.10, 3.1.11</v>
      </c>
      <c r="R231" s="74" t="str">
        <f>VLOOKUP($B231,'Standards Crosswalk'!$A:$H,8,FALSE)</f>
        <v>AC-11, AC-11(1), AC-12</v>
      </c>
      <c r="S231" s="74" t="str">
        <f>VLOOKUP($B231,'Standards Crosswalk'!$A:$I,9,FALSE)</f>
        <v>8.x</v>
      </c>
    </row>
    <row r="232" spans="1:19" ht="57.75" thickBot="1" x14ac:dyDescent="0.25">
      <c r="A232" s="73">
        <f t="shared" si="6"/>
        <v>230</v>
      </c>
      <c r="B232" s="79" t="s">
        <v>403</v>
      </c>
      <c r="C232" s="80" t="str">
        <f>VLOOKUP(B232,HECVAT!A:E,2,FALSE)</f>
        <v>Are passwords visible in plain text, whether when stored or entered, including service level accounts (i.e. database accounts, etc.)?</v>
      </c>
      <c r="D232" s="73">
        <f>VLOOKUP(B232,HECVAT!A:E,4,FALSE)</f>
        <v>0</v>
      </c>
      <c r="E232" s="81" t="b">
        <f>IF(Table1[[#This Row],[Column11]]&gt;20,TRUE,FALSE)</f>
        <v>1</v>
      </c>
      <c r="F232" s="81" t="s">
        <v>579</v>
      </c>
      <c r="G232" s="82" t="s">
        <v>21</v>
      </c>
      <c r="H232" s="83">
        <v>1</v>
      </c>
      <c r="I232" s="73">
        <f>VLOOKUP(B232,HECVAT!A:E,3,FALSE)</f>
        <v>0</v>
      </c>
      <c r="J232" s="73">
        <f>IF(Table1[[#This Row],[Column7]]=Table1[[#This Row],[Column9]],1,0)</f>
        <v>0</v>
      </c>
      <c r="K232" s="73">
        <f>IF(Table1[[#This Row],[Column8]]=1,25,"")</f>
        <v>25</v>
      </c>
      <c r="L232" s="73">
        <f>IF(Table1[[#This Row],[Column8]]=1,J232*K232,"")</f>
        <v>0</v>
      </c>
      <c r="M232" s="74" t="str">
        <f>VLOOKUP($B232,'Standards Crosswalk'!$A:$H,3,FALSE)</f>
        <v>CSC 16</v>
      </c>
      <c r="N232" s="74" t="str">
        <f>VLOOKUP($B232,'Standards Crosswalk'!$A:$H,4,FALSE)</f>
        <v>§164.308(a)(4), 
§164.312(d)</v>
      </c>
      <c r="O232" s="74" t="str">
        <f>VLOOKUP($B232,'Standards Crosswalk'!$A:$H,5,FALSE)</f>
        <v>9.4.3</v>
      </c>
      <c r="P232" s="74" t="str">
        <f>VLOOKUP($B232,'Standards Crosswalk'!$A:$H,6,FALSE)</f>
        <v>ID.GV-3</v>
      </c>
      <c r="Q232" s="74" t="str">
        <f>VLOOKUP($B232,'Standards Crosswalk'!$A:$H,7,FALSE)</f>
        <v>3.5.10</v>
      </c>
      <c r="R232" s="74" t="str">
        <f>VLOOKUP($B232,'Standards Crosswalk'!$A:$H,8,FALSE)</f>
        <v>IA-5(1)</v>
      </c>
      <c r="S232" s="74" t="str">
        <f>VLOOKUP($B232,'Standards Crosswalk'!$A:$I,9,FALSE)</f>
        <v>8.x</v>
      </c>
    </row>
    <row r="233" spans="1:19" ht="57.75" thickBot="1" x14ac:dyDescent="0.25">
      <c r="A233" s="73">
        <f t="shared" si="6"/>
        <v>231</v>
      </c>
      <c r="B233" s="79" t="s">
        <v>404</v>
      </c>
      <c r="C233" s="80" t="str">
        <f>VLOOKUP(B233,HECVAT!A:E,2,FALSE)</f>
        <v>If the application is institution-hosted, can all service level and administrative account passwords be changed by the institution?</v>
      </c>
      <c r="D233" s="73">
        <f>VLOOKUP(B233,HECVAT!A:E,4,FALSE)</f>
        <v>0</v>
      </c>
      <c r="E233" s="81" t="b">
        <f>IF(Table1[[#This Row],[Column11]]&gt;20,TRUE,FALSE)</f>
        <v>0</v>
      </c>
      <c r="F233" s="81" t="s">
        <v>579</v>
      </c>
      <c r="G233" s="82" t="s">
        <v>17</v>
      </c>
      <c r="H233" s="83">
        <v>1</v>
      </c>
      <c r="I233" s="73">
        <f>VLOOKUP(B233,HECVAT!A:E,3,FALSE)</f>
        <v>0</v>
      </c>
      <c r="J233" s="73">
        <f>IF(Table1[[#This Row],[Column7]]=Table1[[#This Row],[Column9]],1,0)</f>
        <v>0</v>
      </c>
      <c r="K233" s="73">
        <f>IF(Table1[[#This Row],[Column8]]=1,20,"")</f>
        <v>20</v>
      </c>
      <c r="L233" s="73">
        <f>IF(Table1[[#This Row],[Column8]]=1,J233*K233,"")</f>
        <v>0</v>
      </c>
      <c r="M233" s="74" t="str">
        <f>VLOOKUP($B233,'Standards Crosswalk'!$A:$H,3,FALSE)</f>
        <v>CSC 16</v>
      </c>
      <c r="N233" s="74" t="str">
        <f>VLOOKUP($B233,'Standards Crosswalk'!$A:$H,4,FALSE)</f>
        <v>§164.308(a)(4), 
§164.312(d)</v>
      </c>
      <c r="O233" s="74">
        <f>VLOOKUP($B233,'Standards Crosswalk'!$A:$H,5,FALSE)</f>
        <v>0</v>
      </c>
      <c r="P233" s="74" t="str">
        <f>VLOOKUP($B233,'Standards Crosswalk'!$A:$H,6,FALSE)</f>
        <v>ID.GV-3</v>
      </c>
      <c r="Q233" s="74">
        <f>VLOOKUP($B233,'Standards Crosswalk'!$A:$H,7,FALSE)</f>
        <v>0</v>
      </c>
      <c r="R233" s="74">
        <f>VLOOKUP($B233,'Standards Crosswalk'!$A:$H,8,FALSE)</f>
        <v>0</v>
      </c>
      <c r="S233" s="74" t="str">
        <f>VLOOKUP($B233,'Standards Crosswalk'!$A:$I,9,FALSE)</f>
        <v>8.x</v>
      </c>
    </row>
    <row r="234" spans="1:19" ht="100.5" thickBot="1" x14ac:dyDescent="0.25">
      <c r="A234" s="73">
        <f t="shared" si="6"/>
        <v>232</v>
      </c>
      <c r="B234" s="79" t="s">
        <v>405</v>
      </c>
      <c r="C234" s="80" t="str">
        <f>VLOOKUP(B234,HECVAT!A:E,2,FALSE)</f>
        <v>Does your application provide the ability to define user access levels?</v>
      </c>
      <c r="D234" s="73">
        <f>VLOOKUP(B234,HECVAT!A:E,4,FALSE)</f>
        <v>0</v>
      </c>
      <c r="E234" s="81" t="b">
        <f>IF(Table1[[#This Row],[Column11]]&gt;20,TRUE,FALSE)</f>
        <v>0</v>
      </c>
      <c r="F234" s="81" t="s">
        <v>579</v>
      </c>
      <c r="G234" s="82" t="s">
        <v>17</v>
      </c>
      <c r="H234" s="83">
        <v>1</v>
      </c>
      <c r="I234" s="73">
        <f>VLOOKUP(B234,HECVAT!A:E,3,FALSE)</f>
        <v>0</v>
      </c>
      <c r="J234" s="73">
        <f>IF(Table1[[#This Row],[Column7]]=Table1[[#This Row],[Column9]],1,0)</f>
        <v>0</v>
      </c>
      <c r="K234" s="73">
        <f>IF(Table1[[#This Row],[Column8]]=1,20,"")</f>
        <v>20</v>
      </c>
      <c r="L234" s="73">
        <f>IF(Table1[[#This Row],[Column8]]=1,J234*K234,"")</f>
        <v>0</v>
      </c>
      <c r="M234" s="74" t="str">
        <f>VLOOKUP($B234,'Standards Crosswalk'!$A:$H,3,FALSE)</f>
        <v>CSC 16</v>
      </c>
      <c r="N234" s="74" t="str">
        <f>VLOOKUP($B234,'Standards Crosswalk'!$A:$H,4,FALSE)</f>
        <v>§164.308(a)(4), 
§164.312(a)(1), §164.312(a)(2)(i), 
§164.312(d)</v>
      </c>
      <c r="O234" s="74">
        <f>VLOOKUP($B234,'Standards Crosswalk'!$A:$H,5,FALSE)</f>
        <v>0</v>
      </c>
      <c r="P234" s="74" t="str">
        <f>VLOOKUP($B234,'Standards Crosswalk'!$A:$H,6,FALSE)</f>
        <v>ID.GV-3</v>
      </c>
      <c r="Q234" s="74" t="str">
        <f>VLOOKUP($B234,'Standards Crosswalk'!$A:$H,7,FALSE)</f>
        <v>3.1.2</v>
      </c>
      <c r="R234" s="74">
        <f>VLOOKUP($B234,'Standards Crosswalk'!$A:$H,8,FALSE)</f>
        <v>0</v>
      </c>
      <c r="S234" s="74" t="str">
        <f>VLOOKUP($B234,'Standards Crosswalk'!$A:$I,9,FALSE)</f>
        <v>8.x</v>
      </c>
    </row>
    <row r="235" spans="1:19" ht="100.5" thickBot="1" x14ac:dyDescent="0.25">
      <c r="A235" s="73">
        <f t="shared" si="6"/>
        <v>233</v>
      </c>
      <c r="B235" s="79" t="s">
        <v>406</v>
      </c>
      <c r="C235" s="80" t="str">
        <f>VLOOKUP(B235,HECVAT!A:E,2,FALSE)</f>
        <v>Does your application support varying levels of access to administrative tasks defined individually per user?</v>
      </c>
      <c r="D235" s="73">
        <f>VLOOKUP(B235,HECVAT!A:E,4,FALSE)</f>
        <v>0</v>
      </c>
      <c r="E235" s="81" t="b">
        <f>IF(Table1[[#This Row],[Column11]]&gt;20,TRUE,FALSE)</f>
        <v>0</v>
      </c>
      <c r="F235" s="81" t="s">
        <v>579</v>
      </c>
      <c r="G235" s="82" t="s">
        <v>17</v>
      </c>
      <c r="H235" s="83">
        <v>1</v>
      </c>
      <c r="I235" s="73">
        <f>VLOOKUP(B235,HECVAT!A:E,3,FALSE)</f>
        <v>0</v>
      </c>
      <c r="J235" s="73">
        <f>IF(Table1[[#This Row],[Column7]]=Table1[[#This Row],[Column9]],1,0)</f>
        <v>0</v>
      </c>
      <c r="K235" s="73">
        <f>IF(Table1[[#This Row],[Column8]]=1,20,"")</f>
        <v>20</v>
      </c>
      <c r="L235" s="73">
        <f>IF(Table1[[#This Row],[Column8]]=1,J235*K235,"")</f>
        <v>0</v>
      </c>
      <c r="M235" s="74" t="str">
        <f>VLOOKUP($B235,'Standards Crosswalk'!$A:$H,3,FALSE)</f>
        <v>CSC 16, 5</v>
      </c>
      <c r="N235" s="74" t="str">
        <f>VLOOKUP($B235,'Standards Crosswalk'!$A:$H,4,FALSE)</f>
        <v>§164.308(a)(4),
§164.312(a)(1), §164.312(a)(2)(i), 
§164.312(d)</v>
      </c>
      <c r="O235" s="74" t="str">
        <f>VLOOKUP($B235,'Standards Crosswalk'!$A:$H,5,FALSE)</f>
        <v>9.1.1</v>
      </c>
      <c r="P235" s="74" t="str">
        <f>VLOOKUP($B235,'Standards Crosswalk'!$A:$H,6,FALSE)</f>
        <v>ID.GV-3</v>
      </c>
      <c r="Q235" s="74" t="str">
        <f>VLOOKUP($B235,'Standards Crosswalk'!$A:$H,7,FALSE)</f>
        <v>3.1.2, 3.1.5</v>
      </c>
      <c r="R235" s="74">
        <f>VLOOKUP($B235,'Standards Crosswalk'!$A:$H,8,FALSE)</f>
        <v>0</v>
      </c>
      <c r="S235" s="74" t="str">
        <f>VLOOKUP($B235,'Standards Crosswalk'!$A:$I,9,FALSE)</f>
        <v>8.x</v>
      </c>
    </row>
    <row r="236" spans="1:19" ht="100.5" thickBot="1" x14ac:dyDescent="0.25">
      <c r="A236" s="73">
        <f t="shared" si="6"/>
        <v>234</v>
      </c>
      <c r="B236" s="79" t="s">
        <v>407</v>
      </c>
      <c r="C236" s="80" t="str">
        <f>VLOOKUP(B236,HECVAT!A:E,2,FALSE)</f>
        <v>Does your application support varying levels of access to records based on user ID?</v>
      </c>
      <c r="D236" s="73">
        <f>VLOOKUP(B236,HECVAT!A:E,4,FALSE)</f>
        <v>0</v>
      </c>
      <c r="E236" s="81" t="b">
        <f>IF(Table1[[#This Row],[Column11]]&gt;20,TRUE,FALSE)</f>
        <v>0</v>
      </c>
      <c r="F236" s="81" t="s">
        <v>579</v>
      </c>
      <c r="G236" s="82" t="s">
        <v>17</v>
      </c>
      <c r="H236" s="83">
        <v>1</v>
      </c>
      <c r="I236" s="73">
        <f>VLOOKUP(B236,HECVAT!A:E,3,FALSE)</f>
        <v>0</v>
      </c>
      <c r="J236" s="73">
        <f>IF(Table1[[#This Row],[Column7]]=Table1[[#This Row],[Column9]],1,0)</f>
        <v>0</v>
      </c>
      <c r="K236" s="73">
        <f>IF(Table1[[#This Row],[Column8]]=1,20,"")</f>
        <v>20</v>
      </c>
      <c r="L236" s="73">
        <f>IF(Table1[[#This Row],[Column8]]=1,J236*K236,"")</f>
        <v>0</v>
      </c>
      <c r="M236" s="74" t="str">
        <f>VLOOKUP($B236,'Standards Crosswalk'!$A:$H,3,FALSE)</f>
        <v>CSC 16</v>
      </c>
      <c r="N236" s="74" t="str">
        <f>VLOOKUP($B236,'Standards Crosswalk'!$A:$H,4,FALSE)</f>
        <v>§164.308(a)(4), 
§164.312(a)(1), §164.312(a)(2)(i),
§164.312(d)</v>
      </c>
      <c r="O236" s="74" t="str">
        <f>VLOOKUP($B236,'Standards Crosswalk'!$A:$H,5,FALSE)</f>
        <v>9.2.3</v>
      </c>
      <c r="P236" s="74" t="str">
        <f>VLOOKUP($B236,'Standards Crosswalk'!$A:$H,6,FALSE)</f>
        <v>ID.GV-3</v>
      </c>
      <c r="Q236" s="74" t="str">
        <f>VLOOKUP($B236,'Standards Crosswalk'!$A:$H,7,FALSE)</f>
        <v>3.1.2</v>
      </c>
      <c r="R236" s="74">
        <f>VLOOKUP($B236,'Standards Crosswalk'!$A:$H,8,FALSE)</f>
        <v>0</v>
      </c>
      <c r="S236" s="74" t="str">
        <f>VLOOKUP($B236,'Standards Crosswalk'!$A:$I,9,FALSE)</f>
        <v>8.x</v>
      </c>
    </row>
    <row r="237" spans="1:19" ht="57.75" thickBot="1" x14ac:dyDescent="0.25">
      <c r="A237" s="73">
        <f t="shared" si="6"/>
        <v>235</v>
      </c>
      <c r="B237" s="79" t="s">
        <v>408</v>
      </c>
      <c r="C237" s="80" t="str">
        <f>VLOOKUP(B237,HECVAT!A:E,2,FALSE)</f>
        <v>Is there a limit to the number of groups a user can be assigned?</v>
      </c>
      <c r="D237" s="73">
        <f>VLOOKUP(B237,HECVAT!A:E,4,FALSE)</f>
        <v>0</v>
      </c>
      <c r="E237" s="81" t="b">
        <f>IF(Table1[[#This Row],[Column11]]&gt;20,TRUE,FALSE)</f>
        <v>0</v>
      </c>
      <c r="F237" s="81" t="s">
        <v>579</v>
      </c>
      <c r="G237" s="82" t="s">
        <v>21</v>
      </c>
      <c r="H237" s="83">
        <v>1</v>
      </c>
      <c r="I237" s="73">
        <f>VLOOKUP(B237,HECVAT!A:E,3,FALSE)</f>
        <v>0</v>
      </c>
      <c r="J237" s="73">
        <f>IF(Table1[[#This Row],[Column7]]=Table1[[#This Row],[Column9]],1,0)</f>
        <v>0</v>
      </c>
      <c r="K237" s="73">
        <f>IF(Table1[[#This Row],[Column8]]=1,20,"")</f>
        <v>20</v>
      </c>
      <c r="L237" s="73">
        <f>IF(Table1[[#This Row],[Column8]]=1,J237*K237,"")</f>
        <v>0</v>
      </c>
      <c r="M237" s="74" t="str">
        <f>VLOOKUP($B237,'Standards Crosswalk'!$A:$H,3,FALSE)</f>
        <v>CSC 16</v>
      </c>
      <c r="N237" s="74" t="str">
        <f>VLOOKUP($B237,'Standards Crosswalk'!$A:$H,4,FALSE)</f>
        <v>§164.308(a)(4), 
§164.312(a)(1)</v>
      </c>
      <c r="O237" s="74" t="str">
        <f>VLOOKUP($B237,'Standards Crosswalk'!$A:$H,5,FALSE)</f>
        <v>9.2.3</v>
      </c>
      <c r="P237" s="74" t="str">
        <f>VLOOKUP($B237,'Standards Crosswalk'!$A:$H,6,FALSE)</f>
        <v>ID.GV-3</v>
      </c>
      <c r="Q237" s="74">
        <f>VLOOKUP($B237,'Standards Crosswalk'!$A:$H,7,FALSE)</f>
        <v>0</v>
      </c>
      <c r="R237" s="74">
        <f>VLOOKUP($B237,'Standards Crosswalk'!$A:$H,8,FALSE)</f>
        <v>0</v>
      </c>
      <c r="S237" s="74">
        <f>VLOOKUP($B237,'Standards Crosswalk'!$A:$I,9,FALSE)</f>
        <v>0</v>
      </c>
    </row>
    <row r="238" spans="1:19" ht="72" thickBot="1" x14ac:dyDescent="0.25">
      <c r="A238" s="73">
        <f t="shared" si="6"/>
        <v>236</v>
      </c>
      <c r="B238" s="79" t="s">
        <v>409</v>
      </c>
      <c r="C238" s="80" t="str">
        <f>VLOOKUP(B238,HECVAT!A:E,2,FALSE)</f>
        <v>Do accounts used for vendor supplied remote support abide by the same authentication policies and access logging as the rest of the system?</v>
      </c>
      <c r="D238" s="73">
        <f>VLOOKUP(B238,HECVAT!A:E,4,FALSE)</f>
        <v>0</v>
      </c>
      <c r="E238" s="81" t="b">
        <f>IF(Table1[[#This Row],[Column11]]&gt;20,TRUE,FALSE)</f>
        <v>0</v>
      </c>
      <c r="F238" s="81" t="s">
        <v>579</v>
      </c>
      <c r="G238" s="82" t="s">
        <v>17</v>
      </c>
      <c r="H238" s="83">
        <v>1</v>
      </c>
      <c r="I238" s="73">
        <f>VLOOKUP(B238,HECVAT!A:E,3,FALSE)</f>
        <v>0</v>
      </c>
      <c r="J238" s="73">
        <f>IF(Table1[[#This Row],[Column7]]=Table1[[#This Row],[Column9]],1,0)</f>
        <v>0</v>
      </c>
      <c r="K238" s="73">
        <f>IF(Table1[[#This Row],[Column8]]=1,20,"")</f>
        <v>20</v>
      </c>
      <c r="L238" s="73">
        <f>IF(Table1[[#This Row],[Column8]]=1,J238*K238,"")</f>
        <v>0</v>
      </c>
      <c r="M238" s="74" t="str">
        <f>VLOOKUP($B238,'Standards Crosswalk'!$A:$H,3,FALSE)</f>
        <v>CSC 6, CSC 16</v>
      </c>
      <c r="N238" s="74" t="str">
        <f>VLOOKUP($B238,'Standards Crosswalk'!$A:$H,4,FALSE)</f>
        <v>§164.308(a)(4), 
§164.312(a)(1)</v>
      </c>
      <c r="O238" s="74">
        <f>VLOOKUP($B238,'Standards Crosswalk'!$A:$H,5,FALSE)</f>
        <v>0</v>
      </c>
      <c r="P238" s="74" t="str">
        <f>VLOOKUP($B238,'Standards Crosswalk'!$A:$H,6,FALSE)</f>
        <v>ID.GV-3</v>
      </c>
      <c r="Q238" s="74" t="str">
        <f>VLOOKUP($B238,'Standards Crosswalk'!$A:$H,7,FALSE)</f>
        <v>3.3.1</v>
      </c>
      <c r="R238" s="74" t="str">
        <f>VLOOKUP($B238,'Standards Crosswalk'!$A:$H,8,FALSE)</f>
        <v>AU-2, AU-6, AU-12</v>
      </c>
      <c r="S238" s="74" t="str">
        <f>VLOOKUP($B238,'Standards Crosswalk'!$A:$I,9,FALSE)</f>
        <v>8.x</v>
      </c>
    </row>
    <row r="239" spans="1:19" ht="57.75" thickBot="1" x14ac:dyDescent="0.25">
      <c r="A239" s="73">
        <f t="shared" si="6"/>
        <v>237</v>
      </c>
      <c r="B239" s="79" t="s">
        <v>410</v>
      </c>
      <c r="C239" s="80" t="str">
        <f>VLOOKUP(B239,HECVAT!A:E,2,FALSE)</f>
        <v xml:space="preserve">Does the application log record access including specific user, date/time of access, and originating IP or device? </v>
      </c>
      <c r="D239" s="73">
        <f>VLOOKUP(B239,HECVAT!A:E,4,FALSE)</f>
        <v>0</v>
      </c>
      <c r="E239" s="81" t="b">
        <f>IF(Table1[[#This Row],[Column11]]&gt;20,TRUE,FALSE)</f>
        <v>0</v>
      </c>
      <c r="F239" s="81" t="s">
        <v>579</v>
      </c>
      <c r="G239" s="82" t="s">
        <v>17</v>
      </c>
      <c r="H239" s="83">
        <v>1</v>
      </c>
      <c r="I239" s="73">
        <f>VLOOKUP(B239,HECVAT!A:E,3,FALSE)</f>
        <v>0</v>
      </c>
      <c r="J239" s="73">
        <f>IF(Table1[[#This Row],[Column7]]=Table1[[#This Row],[Column9]],1,0)</f>
        <v>0</v>
      </c>
      <c r="K239" s="73">
        <f>IF(Table1[[#This Row],[Column8]]=1,20,"")</f>
        <v>20</v>
      </c>
      <c r="L239" s="73">
        <f>IF(Table1[[#This Row],[Column8]]=1,J239*K239,"")</f>
        <v>0</v>
      </c>
      <c r="M239" s="74" t="str">
        <f>VLOOKUP($B239,'Standards Crosswalk'!$A:$H,3,FALSE)</f>
        <v>CSC 6</v>
      </c>
      <c r="N239" s="74" t="str">
        <f>VLOOKUP($B239,'Standards Crosswalk'!$A:$H,4,FALSE)</f>
        <v>§ 164.308(a)(1)(ii)(D)</v>
      </c>
      <c r="O239" s="74" t="str">
        <f>VLOOKUP($B239,'Standards Crosswalk'!$A:$H,5,FALSE)</f>
        <v>12.4.1</v>
      </c>
      <c r="P239" s="74" t="str">
        <f>VLOOKUP($B239,'Standards Crosswalk'!$A:$H,6,FALSE)</f>
        <v>ID.GV-3</v>
      </c>
      <c r="Q239" s="74" t="str">
        <f>VLOOKUP($B239,'Standards Crosswalk'!$A:$H,7,FALSE)</f>
        <v>3.3.2</v>
      </c>
      <c r="R239" s="74" t="str">
        <f>VLOOKUP($B239,'Standards Crosswalk'!$A:$H,8,FALSE)</f>
        <v>AU-3</v>
      </c>
      <c r="S239" s="74">
        <f>VLOOKUP($B239,'Standards Crosswalk'!$A:$I,9,FALSE)</f>
        <v>10.7</v>
      </c>
    </row>
    <row r="240" spans="1:19" ht="86.25" thickBot="1" x14ac:dyDescent="0.25">
      <c r="A240" s="73">
        <f t="shared" si="6"/>
        <v>238</v>
      </c>
      <c r="B240" s="79" t="s">
        <v>411</v>
      </c>
      <c r="C240" s="80" t="str">
        <f>VLOOKUP(B240,HECVAT!A:E,2,FALSE)</f>
        <v>Does the application log administrative activity, such user account access changes and password changes, including specific user, date/time of changes, and originating IP or device?</v>
      </c>
      <c r="D240" s="73">
        <f>VLOOKUP(B240,HECVAT!A:E,4,FALSE)</f>
        <v>0</v>
      </c>
      <c r="E240" s="81" t="b">
        <f>IF(Table1[[#This Row],[Column11]]&gt;20,TRUE,FALSE)</f>
        <v>0</v>
      </c>
      <c r="F240" s="81" t="s">
        <v>579</v>
      </c>
      <c r="G240" s="82" t="s">
        <v>17</v>
      </c>
      <c r="H240" s="83">
        <v>1</v>
      </c>
      <c r="I240" s="73">
        <f>VLOOKUP(B240,HECVAT!A:E,3,FALSE)</f>
        <v>0</v>
      </c>
      <c r="J240" s="73">
        <f>IF(Table1[[#This Row],[Column7]]=Table1[[#This Row],[Column9]],1,0)</f>
        <v>0</v>
      </c>
      <c r="K240" s="73">
        <f>IF(Table1[[#This Row],[Column8]]=1,20,"")</f>
        <v>20</v>
      </c>
      <c r="L240" s="73">
        <f>IF(Table1[[#This Row],[Column8]]=1,J240*K240,"")</f>
        <v>0</v>
      </c>
      <c r="M240" s="74" t="str">
        <f>VLOOKUP($B240,'Standards Crosswalk'!$A:$H,3,FALSE)</f>
        <v>CSC 6</v>
      </c>
      <c r="N240" s="74" t="str">
        <f>VLOOKUP($B240,'Standards Crosswalk'!$A:$H,4,FALSE)</f>
        <v>§164.312(b)</v>
      </c>
      <c r="O240" s="74" t="str">
        <f>VLOOKUP($B240,'Standards Crosswalk'!$A:$H,5,FALSE)</f>
        <v>12.4.1</v>
      </c>
      <c r="P240" s="74" t="str">
        <f>VLOOKUP($B240,'Standards Crosswalk'!$A:$H,6,FALSE)</f>
        <v>ID.GV-3</v>
      </c>
      <c r="Q240" s="74">
        <f>VLOOKUP($B240,'Standards Crosswalk'!$A:$H,7,FALSE)</f>
        <v>0</v>
      </c>
      <c r="R240" s="74">
        <f>VLOOKUP($B240,'Standards Crosswalk'!$A:$H,8,FALSE)</f>
        <v>0</v>
      </c>
      <c r="S240" s="74">
        <f>VLOOKUP($B240,'Standards Crosswalk'!$A:$I,9,FALSE)</f>
        <v>10.7</v>
      </c>
    </row>
    <row r="241" spans="1:25" ht="29.25" thickBot="1" x14ac:dyDescent="0.25">
      <c r="A241" s="73">
        <f t="shared" si="6"/>
        <v>239</v>
      </c>
      <c r="B241" s="79" t="s">
        <v>412</v>
      </c>
      <c r="C241" s="80" t="str">
        <f>VLOOKUP(B241,HECVAT!A:E,2,FALSE)</f>
        <v>How long does the application keep access/change logs?</v>
      </c>
      <c r="D241" s="73">
        <f>VLOOKUP(B241,HECVAT!A:E,4,FALSE)</f>
        <v>0</v>
      </c>
      <c r="E241" s="81" t="b">
        <f>IF(Table1[[#This Row],[Column11]]&gt;20,TRUE,FALSE)</f>
        <v>0</v>
      </c>
      <c r="F241" s="81" t="s">
        <v>579</v>
      </c>
      <c r="G241" s="82" t="s">
        <v>17</v>
      </c>
      <c r="H241" s="83">
        <v>1</v>
      </c>
      <c r="I241" s="73">
        <f>VLOOKUP(B241,HECVAT!A:E,3,FALSE)</f>
        <v>0</v>
      </c>
      <c r="J241" s="73">
        <f>IF(VLOOKUP(Table1[[#This Row],[Column2]],'Analyst Report'!$A$41:$G$88,7,FALSE)="Yes",1,0)</f>
        <v>0</v>
      </c>
      <c r="K241" s="73">
        <f>IF(Table1[[#This Row],[Column8]]=1,20,"")</f>
        <v>20</v>
      </c>
      <c r="L241" s="73">
        <f>IF(Table1[[#This Row],[Column8]]=1,J241*K241,"")</f>
        <v>0</v>
      </c>
      <c r="M241" s="74" t="str">
        <f>VLOOKUP($B241,'Standards Crosswalk'!$A:$H,3,FALSE)</f>
        <v>CSC 6</v>
      </c>
      <c r="N241" s="74" t="str">
        <f>VLOOKUP($B241,'Standards Crosswalk'!$A:$H,4,FALSE)</f>
        <v>§164.312(b)</v>
      </c>
      <c r="O241" s="74" t="str">
        <f>VLOOKUP($B241,'Standards Crosswalk'!$A:$H,5,FALSE)</f>
        <v>12.4.1</v>
      </c>
      <c r="P241" s="74" t="str">
        <f>VLOOKUP($B241,'Standards Crosswalk'!$A:$H,6,FALSE)</f>
        <v>ID.GV-3</v>
      </c>
      <c r="Q241" s="74">
        <f>VLOOKUP($B241,'Standards Crosswalk'!$A:$H,7,FALSE)</f>
        <v>0</v>
      </c>
      <c r="R241" s="74">
        <f>VLOOKUP($B241,'Standards Crosswalk'!$A:$H,8,FALSE)</f>
        <v>0</v>
      </c>
      <c r="S241" s="74">
        <f>VLOOKUP($B241,'Standards Crosswalk'!$A:$I,9,FALSE)</f>
        <v>10.7</v>
      </c>
      <c r="T241" s="96"/>
      <c r="U241" s="96"/>
      <c r="V241" s="96"/>
      <c r="W241" s="96"/>
      <c r="X241" s="96"/>
      <c r="Y241" s="96"/>
    </row>
    <row r="242" spans="1:25" ht="29.25" thickBot="1" x14ac:dyDescent="0.25">
      <c r="A242" s="73">
        <f t="shared" si="6"/>
        <v>240</v>
      </c>
      <c r="B242" s="79" t="s">
        <v>413</v>
      </c>
      <c r="C242" s="80" t="str">
        <f>VLOOKUP(B242,HECVAT!A:E,2,FALSE)</f>
        <v xml:space="preserve">Can the application logs be archived? </v>
      </c>
      <c r="D242" s="73">
        <f>VLOOKUP(B242,HECVAT!A:E,4,FALSE)</f>
        <v>0</v>
      </c>
      <c r="E242" s="81" t="b">
        <f>IF(Table1[[#This Row],[Column11]]&gt;20,TRUE,FALSE)</f>
        <v>0</v>
      </c>
      <c r="F242" s="81" t="s">
        <v>579</v>
      </c>
      <c r="G242" s="82" t="s">
        <v>17</v>
      </c>
      <c r="H242" s="83">
        <v>1</v>
      </c>
      <c r="I242" s="73">
        <f>VLOOKUP(B242,HECVAT!A:E,3,FALSE)</f>
        <v>0</v>
      </c>
      <c r="J242" s="73">
        <f>IF(Table1[[#This Row],[Column7]]=Table1[[#This Row],[Column9]],1,0)</f>
        <v>0</v>
      </c>
      <c r="K242" s="73">
        <f>IF(Table1[[#This Row],[Column8]]=1,20,"")</f>
        <v>20</v>
      </c>
      <c r="L242" s="73">
        <f>IF(Table1[[#This Row],[Column8]]=1,J242*K242,"")</f>
        <v>0</v>
      </c>
      <c r="M242" s="74" t="str">
        <f>VLOOKUP($B242,'Standards Crosswalk'!$A:$H,3,FALSE)</f>
        <v>CSC 6</v>
      </c>
      <c r="N242" s="74" t="str">
        <f>VLOOKUP($B242,'Standards Crosswalk'!$A:$H,4,FALSE)</f>
        <v>§164.312(b)</v>
      </c>
      <c r="O242" s="74" t="str">
        <f>VLOOKUP($B242,'Standards Crosswalk'!$A:$H,5,FALSE)</f>
        <v>12.4.1</v>
      </c>
      <c r="P242" s="74" t="str">
        <f>VLOOKUP($B242,'Standards Crosswalk'!$A:$H,6,FALSE)</f>
        <v>ID.GV-3</v>
      </c>
      <c r="Q242" s="74">
        <f>VLOOKUP($B242,'Standards Crosswalk'!$A:$H,7,FALSE)</f>
        <v>0</v>
      </c>
      <c r="R242" s="74">
        <f>VLOOKUP($B242,'Standards Crosswalk'!$A:$H,8,FALSE)</f>
        <v>0</v>
      </c>
      <c r="S242" s="74">
        <f>VLOOKUP($B242,'Standards Crosswalk'!$A:$I,9,FALSE)</f>
        <v>10.7</v>
      </c>
    </row>
    <row r="243" spans="1:25" ht="29.25" thickBot="1" x14ac:dyDescent="0.25">
      <c r="A243" s="73">
        <f t="shared" si="6"/>
        <v>241</v>
      </c>
      <c r="B243" s="79" t="s">
        <v>414</v>
      </c>
      <c r="C243" s="80" t="str">
        <f>VLOOKUP(B243,HECVAT!A:E,2,FALSE)</f>
        <v xml:space="preserve">Can the application logs be saved externally? </v>
      </c>
      <c r="D243" s="73">
        <f>VLOOKUP(B243,HECVAT!A:E,4,FALSE)</f>
        <v>0</v>
      </c>
      <c r="E243" s="81" t="b">
        <f>IF(Table1[[#This Row],[Column11]]&gt;20,TRUE,FALSE)</f>
        <v>0</v>
      </c>
      <c r="F243" s="81" t="s">
        <v>579</v>
      </c>
      <c r="G243" s="82" t="s">
        <v>17</v>
      </c>
      <c r="H243" s="83">
        <v>1</v>
      </c>
      <c r="I243" s="73">
        <f>VLOOKUP(B243,HECVAT!A:E,3,FALSE)</f>
        <v>0</v>
      </c>
      <c r="J243" s="73">
        <f>IF(Table1[[#This Row],[Column7]]=Table1[[#This Row],[Column9]],1,0)</f>
        <v>0</v>
      </c>
      <c r="K243" s="73">
        <f>IF(Table1[[#This Row],[Column8]]=1,20,"")</f>
        <v>20</v>
      </c>
      <c r="L243" s="73">
        <f>IF(Table1[[#This Row],[Column8]]=1,J243*K243,"")</f>
        <v>0</v>
      </c>
      <c r="M243" s="74" t="str">
        <f>VLOOKUP($B243,'Standards Crosswalk'!$A:$H,3,FALSE)</f>
        <v>CSC 6</v>
      </c>
      <c r="N243" s="74" t="str">
        <f>VLOOKUP($B243,'Standards Crosswalk'!$A:$H,4,FALSE)</f>
        <v>§164.312(b)</v>
      </c>
      <c r="O243" s="74" t="str">
        <f>VLOOKUP($B243,'Standards Crosswalk'!$A:$H,5,FALSE)</f>
        <v>12.4.1</v>
      </c>
      <c r="P243" s="74" t="str">
        <f>VLOOKUP($B243,'Standards Crosswalk'!$A:$H,6,FALSE)</f>
        <v>ID.GV-3</v>
      </c>
      <c r="Q243" s="74">
        <f>VLOOKUP($B243,'Standards Crosswalk'!$A:$H,7,FALSE)</f>
        <v>0</v>
      </c>
      <c r="R243" s="74">
        <f>VLOOKUP($B243,'Standards Crosswalk'!$A:$H,8,FALSE)</f>
        <v>0</v>
      </c>
      <c r="S243" s="74">
        <f>VLOOKUP($B243,'Standards Crosswalk'!$A:$I,9,FALSE)</f>
        <v>10.7</v>
      </c>
    </row>
    <row r="244" spans="1:25" ht="43.5" thickBot="1" x14ac:dyDescent="0.25">
      <c r="A244" s="73">
        <f t="shared" si="6"/>
        <v>242</v>
      </c>
      <c r="B244" s="79" t="s">
        <v>415</v>
      </c>
      <c r="C244" s="80" t="str">
        <f>VLOOKUP(B244,HECVAT!A:E,2,FALSE)</f>
        <v>Does your data backup and retention policies and practices meet HIPAA requirements?</v>
      </c>
      <c r="D244" s="73">
        <f>VLOOKUP(B244,HECVAT!A:E,4,FALSE)</f>
        <v>0</v>
      </c>
      <c r="E244" s="81" t="b">
        <f>IF(Table1[[#This Row],[Column11]]&gt;20,TRUE,FALSE)</f>
        <v>0</v>
      </c>
      <c r="F244" s="81" t="s">
        <v>579</v>
      </c>
      <c r="G244" s="82" t="s">
        <v>17</v>
      </c>
      <c r="H244" s="83">
        <v>1</v>
      </c>
      <c r="I244" s="73">
        <f>VLOOKUP(B244,HECVAT!A:E,3,FALSE)</f>
        <v>0</v>
      </c>
      <c r="J244" s="73">
        <f>IF(Table1[[#This Row],[Column7]]=Table1[[#This Row],[Column9]],1,0)</f>
        <v>0</v>
      </c>
      <c r="K244" s="73">
        <f>IF(Table1[[#This Row],[Column8]]=1,20,"")</f>
        <v>20</v>
      </c>
      <c r="L244" s="73">
        <f>IF(Table1[[#This Row],[Column8]]=1,J244*K244,"")</f>
        <v>0</v>
      </c>
      <c r="M244" s="74" t="str">
        <f>VLOOKUP($B244,'Standards Crosswalk'!$A:$H,3,FALSE)</f>
        <v>CSC 10</v>
      </c>
      <c r="N244" s="74" t="str">
        <f>VLOOKUP($B244,'Standards Crosswalk'!$A:$H,4,FALSE)</f>
        <v>§164.312(a)(2)(ii)</v>
      </c>
      <c r="O244" s="74" t="str">
        <f>VLOOKUP($B244,'Standards Crosswalk'!$A:$H,5,FALSE)</f>
        <v>18.1.1</v>
      </c>
      <c r="P244" s="74" t="str">
        <f>VLOOKUP($B244,'Standards Crosswalk'!$A:$H,6,FALSE)</f>
        <v>ID.GV-3</v>
      </c>
      <c r="Q244" s="74">
        <f>VLOOKUP($B244,'Standards Crosswalk'!$A:$H,7,FALSE)</f>
        <v>0</v>
      </c>
      <c r="R244" s="74">
        <f>VLOOKUP($B244,'Standards Crosswalk'!$A:$H,8,FALSE)</f>
        <v>0</v>
      </c>
      <c r="S244" s="74">
        <f>VLOOKUP($B244,'Standards Crosswalk'!$A:$I,9,FALSE)</f>
        <v>10.7</v>
      </c>
    </row>
    <row r="245" spans="1:25" ht="43.5" thickBot="1" x14ac:dyDescent="0.25">
      <c r="A245" s="73">
        <f t="shared" si="6"/>
        <v>243</v>
      </c>
      <c r="B245" s="79" t="s">
        <v>416</v>
      </c>
      <c r="C245" s="80" t="str">
        <f>VLOOKUP(B245,HECVAT!A:E,2,FALSE)</f>
        <v>Do you have a disaster recovery plan and emergency mode operation plan?</v>
      </c>
      <c r="D245" s="73">
        <f>VLOOKUP(B245,HECVAT!A:E,4,FALSE)</f>
        <v>0</v>
      </c>
      <c r="E245" s="81" t="b">
        <f>IF(Table1[[#This Row],[Column11]]&gt;20,TRUE,FALSE)</f>
        <v>0</v>
      </c>
      <c r="F245" s="81" t="s">
        <v>579</v>
      </c>
      <c r="G245" s="82" t="s">
        <v>17</v>
      </c>
      <c r="H245" s="83">
        <v>1</v>
      </c>
      <c r="I245" s="73">
        <f>VLOOKUP(B245,HECVAT!A:E,3,FALSE)</f>
        <v>0</v>
      </c>
      <c r="J245" s="73">
        <f>IF(Table1[[#This Row],[Column7]]=Table1[[#This Row],[Column9]],1,0)</f>
        <v>0</v>
      </c>
      <c r="K245" s="73">
        <f>IF(Table1[[#This Row],[Column8]]=1,20,"")</f>
        <v>20</v>
      </c>
      <c r="L245" s="73">
        <f>IF(Table1[[#This Row],[Column8]]=1,J245*K245,"")</f>
        <v>0</v>
      </c>
      <c r="M245" s="74" t="str">
        <f>VLOOKUP($B245,'Standards Crosswalk'!$A:$H,3,FALSE)</f>
        <v>CSC 10</v>
      </c>
      <c r="N245" s="74" t="str">
        <f>VLOOKUP($B245,'Standards Crosswalk'!$A:$H,4,FALSE)</f>
        <v>§164.308(a)(7)(i)</v>
      </c>
      <c r="O245" s="74" t="str">
        <f>VLOOKUP($B245,'Standards Crosswalk'!$A:$H,5,FALSE)</f>
        <v>17.1.1</v>
      </c>
      <c r="P245" s="74" t="str">
        <f>VLOOKUP($B245,'Standards Crosswalk'!$A:$H,6,FALSE)</f>
        <v>ID.GV-3</v>
      </c>
      <c r="Q245" s="74" t="str">
        <f>VLOOKUP($B245,'Standards Crosswalk'!$A:$H,7,FALSE)</f>
        <v>3.12.2</v>
      </c>
      <c r="R245" s="74">
        <f>VLOOKUP($B245,'Standards Crosswalk'!$A:$H,8,FALSE)</f>
        <v>0</v>
      </c>
      <c r="S245" s="74">
        <f>VLOOKUP($B245,'Standards Crosswalk'!$A:$I,9,FALSE)</f>
        <v>12.1</v>
      </c>
    </row>
    <row r="246" spans="1:25" ht="29.25" thickBot="1" x14ac:dyDescent="0.25">
      <c r="A246" s="73">
        <f t="shared" si="6"/>
        <v>244</v>
      </c>
      <c r="B246" s="79" t="s">
        <v>417</v>
      </c>
      <c r="C246" s="80" t="str">
        <f>VLOOKUP(B246,HECVAT!A:E,2,FALSE)</f>
        <v>Have the policies/plans mentioned above been tested?</v>
      </c>
      <c r="D246" s="73">
        <f>VLOOKUP(B246,HECVAT!A:E,4,FALSE)</f>
        <v>0</v>
      </c>
      <c r="E246" s="81" t="b">
        <f>IF(Table1[[#This Row],[Column11]]&gt;20,TRUE,FALSE)</f>
        <v>0</v>
      </c>
      <c r="F246" s="81" t="s">
        <v>579</v>
      </c>
      <c r="G246" s="82" t="s">
        <v>17</v>
      </c>
      <c r="H246" s="83">
        <v>1</v>
      </c>
      <c r="I246" s="73">
        <f>VLOOKUP(B246,HECVAT!A:E,3,FALSE)</f>
        <v>0</v>
      </c>
      <c r="J246" s="73">
        <f>IF(Table1[[#This Row],[Column7]]=Table1[[#This Row],[Column9]],1,0)</f>
        <v>0</v>
      </c>
      <c r="K246" s="73">
        <f>IF(Table1[[#This Row],[Column8]]=1,20,"")</f>
        <v>20</v>
      </c>
      <c r="L246" s="73">
        <f>IF(Table1[[#This Row],[Column8]]=1,J246*K246,"")</f>
        <v>0</v>
      </c>
      <c r="M246" s="74" t="str">
        <f>VLOOKUP($B246,'Standards Crosswalk'!$A:$H,3,FALSE)</f>
        <v>CSC 10</v>
      </c>
      <c r="N246" s="74" t="str">
        <f>VLOOKUP($B246,'Standards Crosswalk'!$A:$H,4,FALSE)</f>
        <v>§164.308(a)(7)(i)</v>
      </c>
      <c r="O246" s="74" t="str">
        <f>VLOOKUP($B246,'Standards Crosswalk'!$A:$H,5,FALSE)</f>
        <v>17.1.3</v>
      </c>
      <c r="P246" s="74" t="str">
        <f>VLOOKUP($B246,'Standards Crosswalk'!$A:$H,6,FALSE)</f>
        <v>ID.GV-3</v>
      </c>
      <c r="Q246" s="74" t="str">
        <f>VLOOKUP($B246,'Standards Crosswalk'!$A:$H,7,FALSE)</f>
        <v>3.6.3, 3.12.2</v>
      </c>
      <c r="R246" s="74">
        <f>VLOOKUP($B246,'Standards Crosswalk'!$A:$H,8,FALSE)</f>
        <v>0</v>
      </c>
      <c r="S246" s="74">
        <f>VLOOKUP($B246,'Standards Crosswalk'!$A:$I,9,FALSE)</f>
        <v>12.1</v>
      </c>
    </row>
    <row r="247" spans="1:25" ht="29.25" thickBot="1" x14ac:dyDescent="0.25">
      <c r="A247" s="73">
        <f t="shared" si="6"/>
        <v>245</v>
      </c>
      <c r="B247" s="79" t="s">
        <v>418</v>
      </c>
      <c r="C247" s="80" t="str">
        <f>VLOOKUP(B247,HECVAT!A:E,2,FALSE)</f>
        <v>Can you provide a HIPAA compliance attestation document?</v>
      </c>
      <c r="D247" s="73">
        <f>VLOOKUP(B247,HECVAT!A:E,4,FALSE)</f>
        <v>0</v>
      </c>
      <c r="E247" s="81" t="b">
        <f>IF(Table1[[#This Row],[Column11]]&gt;20,TRUE,FALSE)</f>
        <v>0</v>
      </c>
      <c r="F247" s="81" t="s">
        <v>579</v>
      </c>
      <c r="G247" s="82" t="s">
        <v>17</v>
      </c>
      <c r="H247" s="83">
        <v>1</v>
      </c>
      <c r="I247" s="73">
        <f>VLOOKUP(B247,HECVAT!A:E,3,FALSE)</f>
        <v>0</v>
      </c>
      <c r="J247" s="73">
        <f>IF(Table1[[#This Row],[Column7]]=Table1[[#This Row],[Column9]],1,0)</f>
        <v>0</v>
      </c>
      <c r="K247" s="73">
        <f>IF(Table1[[#This Row],[Column8]]=1,20,"")</f>
        <v>20</v>
      </c>
      <c r="L247" s="73">
        <f>IF(Table1[[#This Row],[Column8]]=1,J247*K247,"")</f>
        <v>0</v>
      </c>
      <c r="M247" s="74" t="str">
        <f>VLOOKUP($B247,'Standards Crosswalk'!$A:$H,3,FALSE)</f>
        <v>CSC 10</v>
      </c>
      <c r="N247" s="74" t="str">
        <f>VLOOKUP($B247,'Standards Crosswalk'!$A:$H,4,FALSE)</f>
        <v>§164.308(b)(2)</v>
      </c>
      <c r="O247" s="74" t="str">
        <f>VLOOKUP($B247,'Standards Crosswalk'!$A:$H,5,FALSE)</f>
        <v>18.1.1</v>
      </c>
      <c r="P247" s="74" t="str">
        <f>VLOOKUP($B247,'Standards Crosswalk'!$A:$H,6,FALSE)</f>
        <v>ID.GV-3</v>
      </c>
      <c r="Q247" s="74">
        <f>VLOOKUP($B247,'Standards Crosswalk'!$A:$H,7,FALSE)</f>
        <v>0</v>
      </c>
      <c r="R247" s="74">
        <f>VLOOKUP($B247,'Standards Crosswalk'!$A:$H,8,FALSE)</f>
        <v>0</v>
      </c>
      <c r="S247" s="74">
        <f>VLOOKUP($B247,'Standards Crosswalk'!$A:$I,9,FALSE)</f>
        <v>10.7</v>
      </c>
    </row>
    <row r="248" spans="1:25" ht="86.25" thickBot="1" x14ac:dyDescent="0.25">
      <c r="A248" s="73">
        <f t="shared" si="6"/>
        <v>246</v>
      </c>
      <c r="B248" s="79" t="s">
        <v>419</v>
      </c>
      <c r="C248" s="80" t="str">
        <f>VLOOKUP(B248,HECVAT!A:E,2,FALSE)</f>
        <v>Are you willing to enter into a Business Associate Agreement (BAA)?</v>
      </c>
      <c r="D248" s="73">
        <f>VLOOKUP(B248,HECVAT!A:E,4,FALSE)</f>
        <v>0</v>
      </c>
      <c r="E248" s="81" t="b">
        <f>IF(Table1[[#This Row],[Column11]]&gt;20,TRUE,FALSE)</f>
        <v>0</v>
      </c>
      <c r="F248" s="81" t="s">
        <v>579</v>
      </c>
      <c r="G248" s="82" t="s">
        <v>17</v>
      </c>
      <c r="H248" s="83">
        <v>1</v>
      </c>
      <c r="I248" s="73">
        <f>VLOOKUP(B248,HECVAT!A:E,3,FALSE)</f>
        <v>0</v>
      </c>
      <c r="J248" s="73">
        <f>IF(Table1[[#This Row],[Column7]]=Table1[[#This Row],[Column9]],1,0)</f>
        <v>0</v>
      </c>
      <c r="K248" s="73">
        <f>IF(Table1[[#This Row],[Column8]]=1,20,"")</f>
        <v>20</v>
      </c>
      <c r="L248" s="73">
        <f>IF(Table1[[#This Row],[Column8]]=1,J248*K248,"")</f>
        <v>0</v>
      </c>
      <c r="M248" s="74" t="str">
        <f>VLOOKUP($B248,'Standards Crosswalk'!$A:$H,3,FALSE)</f>
        <v>CSC 10</v>
      </c>
      <c r="N248" s="74" t="str">
        <f>VLOOKUP($B248,'Standards Crosswalk'!$A:$H,4,FALSE)</f>
        <v>§164.308(b)(1),
§164.308(b)(3), §164.314(a)(1)(i)</v>
      </c>
      <c r="O248" s="74" t="str">
        <f>VLOOKUP($B248,'Standards Crosswalk'!$A:$H,5,FALSE)</f>
        <v>18.1.1</v>
      </c>
      <c r="P248" s="74" t="str">
        <f>VLOOKUP($B248,'Standards Crosswalk'!$A:$H,6,FALSE)</f>
        <v>ID.GV-3</v>
      </c>
      <c r="Q248" s="74">
        <f>VLOOKUP($B248,'Standards Crosswalk'!$A:$H,7,FALSE)</f>
        <v>0</v>
      </c>
      <c r="R248" s="74">
        <f>VLOOKUP($B248,'Standards Crosswalk'!$A:$H,8,FALSE)</f>
        <v>0</v>
      </c>
      <c r="S248" s="74">
        <f>VLOOKUP($B248,'Standards Crosswalk'!$A:$I,9,FALSE)</f>
        <v>0</v>
      </c>
    </row>
    <row r="249" spans="1:25" ht="114.75" thickBot="1" x14ac:dyDescent="0.25">
      <c r="A249" s="73">
        <f t="shared" si="6"/>
        <v>247</v>
      </c>
      <c r="B249" s="79" t="s">
        <v>420</v>
      </c>
      <c r="C249" s="80" t="str">
        <f>VLOOKUP(B249,HECVAT!A:E,2,FALSE)</f>
        <v>Have you entered into a BAA with all subcontractors who may have access to protected health information (PHI)?</v>
      </c>
      <c r="D249" s="73">
        <f>VLOOKUP(B249,HECVAT!A:E,4,FALSE)</f>
        <v>0</v>
      </c>
      <c r="E249" s="81" t="b">
        <f>IF(Table1[[#This Row],[Column11]]&gt;20,TRUE,FALSE)</f>
        <v>0</v>
      </c>
      <c r="F249" s="81" t="s">
        <v>579</v>
      </c>
      <c r="G249" s="82" t="s">
        <v>17</v>
      </c>
      <c r="H249" s="83">
        <v>1</v>
      </c>
      <c r="I249" s="73">
        <f>VLOOKUP(B249,HECVAT!A:E,3,FALSE)</f>
        <v>0</v>
      </c>
      <c r="J249" s="73">
        <f>IF(Table1[[#This Row],[Column7]]=Table1[[#This Row],[Column9]],1,0)</f>
        <v>0</v>
      </c>
      <c r="K249" s="73">
        <f>IF(Table1[[#This Row],[Column8]]=1,20,"")</f>
        <v>20</v>
      </c>
      <c r="L249" s="73">
        <f>IF(Table1[[#This Row],[Column8]]=1,J249*K249,"")</f>
        <v>0</v>
      </c>
      <c r="M249" s="74" t="str">
        <f>VLOOKUP($B249,'Standards Crosswalk'!$A:$H,3,FALSE)</f>
        <v>CSC 10</v>
      </c>
      <c r="N249" s="74" t="str">
        <f>VLOOKUP($B249,'Standards Crosswalk'!$A:$H,4,FALSE)</f>
        <v>§164.308(a)(3)(i), §164.308(b)(1), 
§164.308(b)(3), §164.314(a)(1)(i)</v>
      </c>
      <c r="O249" s="74" t="str">
        <f>VLOOKUP($B249,'Standards Crosswalk'!$A:$H,5,FALSE)</f>
        <v>18.1.1</v>
      </c>
      <c r="P249" s="74" t="str">
        <f>VLOOKUP($B249,'Standards Crosswalk'!$A:$H,6,FALSE)</f>
        <v>ID.GV-3</v>
      </c>
      <c r="Q249" s="74">
        <f>VLOOKUP($B249,'Standards Crosswalk'!$A:$H,7,FALSE)</f>
        <v>0</v>
      </c>
      <c r="R249" s="74">
        <f>VLOOKUP($B249,'Standards Crosswalk'!$A:$H,8,FALSE)</f>
        <v>0</v>
      </c>
      <c r="S249" s="74">
        <f>VLOOKUP($B249,'Standards Crosswalk'!$A:$I,9,FALSE)</f>
        <v>12.8</v>
      </c>
    </row>
    <row r="250" spans="1:25" ht="43.5" thickBot="1" x14ac:dyDescent="0.25">
      <c r="A250" s="73">
        <f t="shared" si="6"/>
        <v>248</v>
      </c>
      <c r="B250" s="79" t="s">
        <v>421</v>
      </c>
      <c r="C250" s="80" t="str">
        <f>VLOOKUP(B250,HECVAT!A:E,2,FALSE)</f>
        <v>Do your systems or products store, process, or transmit cardholder (payment/credit/debt card) data?</v>
      </c>
      <c r="D250" s="73">
        <f>VLOOKUP(B250,HECVAT!A:E,4,FALSE)</f>
        <v>0</v>
      </c>
      <c r="E250" s="81" t="b">
        <f>IF(Table1[[#This Row],[Column11]]&gt;20,TRUE,FALSE)</f>
        <v>0</v>
      </c>
      <c r="F250" s="88" t="s">
        <v>2063</v>
      </c>
      <c r="G250" s="82" t="s">
        <v>21</v>
      </c>
      <c r="H250" s="83">
        <v>1</v>
      </c>
      <c r="I250" s="73">
        <f>VLOOKUP(B250,HECVAT!A:E,3,FALSE)</f>
        <v>0</v>
      </c>
      <c r="J250" s="73">
        <f>IF(Table1[[#This Row],[Column7]]=Table1[[#This Row],[Column9]],1,0)</f>
        <v>0</v>
      </c>
      <c r="K250" s="73">
        <f>IF(Table1[[#This Row],[Column8]]=1,15,"")</f>
        <v>15</v>
      </c>
      <c r="L250" s="73">
        <f>IF(Table1[[#This Row],[Column8]]=1,J250*K250,"")</f>
        <v>0</v>
      </c>
      <c r="M250" s="74" t="str">
        <f>VLOOKUP($B250,'Standards Crosswalk'!$A:$H,3,FALSE)</f>
        <v>CSC 10</v>
      </c>
      <c r="N250" s="74">
        <f>VLOOKUP($B250,'Standards Crosswalk'!$A:$H,4,FALSE)</f>
        <v>0</v>
      </c>
      <c r="O250" s="74" t="str">
        <f>VLOOKUP($B250,'Standards Crosswalk'!$A:$H,5,FALSE)</f>
        <v>18.1.1</v>
      </c>
      <c r="P250" s="74" t="str">
        <f>VLOOKUP($B250,'Standards Crosswalk'!$A:$H,6,FALSE)</f>
        <v>ID.GV-3</v>
      </c>
      <c r="Q250" s="74">
        <f>VLOOKUP($B250,'Standards Crosswalk'!$A:$H,7,FALSE)</f>
        <v>0</v>
      </c>
      <c r="R250" s="74">
        <f>VLOOKUP($B250,'Standards Crosswalk'!$A:$H,8,FALSE)</f>
        <v>0</v>
      </c>
      <c r="S250" s="74">
        <f>VLOOKUP($B250,'Standards Crosswalk'!$A:$I,9,FALSE)</f>
        <v>12.8</v>
      </c>
    </row>
    <row r="251" spans="1:25" ht="43.5" thickBot="1" x14ac:dyDescent="0.25">
      <c r="A251" s="73">
        <f t="shared" si="6"/>
        <v>249</v>
      </c>
      <c r="B251" s="79" t="s">
        <v>422</v>
      </c>
      <c r="C251" s="80" t="str">
        <f>VLOOKUP(B251,HECVAT!A:E,2,FALSE)</f>
        <v>Are you compliant with the Payment Card Industry Data Security Standard (PCI DSS)?</v>
      </c>
      <c r="D251" s="73">
        <f>VLOOKUP(B251,HECVAT!A:E,4,FALSE)</f>
        <v>0</v>
      </c>
      <c r="E251" s="81" t="b">
        <f>IF(Table1[[#This Row],[Column11]]&gt;20,TRUE,FALSE)</f>
        <v>0</v>
      </c>
      <c r="F251" s="88" t="s">
        <v>2063</v>
      </c>
      <c r="G251" s="82" t="s">
        <v>17</v>
      </c>
      <c r="H251" s="83">
        <v>1</v>
      </c>
      <c r="I251" s="73">
        <f>VLOOKUP(B251,HECVAT!A:E,3,FALSE)</f>
        <v>0</v>
      </c>
      <c r="J251" s="73">
        <f>IF(Table1[[#This Row],[Column7]]=Table1[[#This Row],[Column9]],1,0)</f>
        <v>0</v>
      </c>
      <c r="K251" s="73">
        <f>IF(Table1[[#This Row],[Column8]]=1,20,"")</f>
        <v>20</v>
      </c>
      <c r="L251" s="73">
        <f>IF(Table1[[#This Row],[Column8]]=1,J251*K251,"")</f>
        <v>0</v>
      </c>
      <c r="M251" s="74" t="str">
        <f>VLOOKUP($B251,'Standards Crosswalk'!$A:$H,3,FALSE)</f>
        <v>CSC 10</v>
      </c>
      <c r="N251" s="74">
        <f>VLOOKUP($B251,'Standards Crosswalk'!$A:$H,4,FALSE)</f>
        <v>0</v>
      </c>
      <c r="O251" s="74" t="str">
        <f>VLOOKUP($B251,'Standards Crosswalk'!$A:$H,5,FALSE)</f>
        <v>18.1.1</v>
      </c>
      <c r="P251" s="74" t="str">
        <f>VLOOKUP($B251,'Standards Crosswalk'!$A:$H,6,FALSE)</f>
        <v>ID.GV-3</v>
      </c>
      <c r="Q251" s="74">
        <f>VLOOKUP($B251,'Standards Crosswalk'!$A:$H,7,FALSE)</f>
        <v>0</v>
      </c>
      <c r="R251" s="74">
        <f>VLOOKUP($B251,'Standards Crosswalk'!$A:$H,8,FALSE)</f>
        <v>0</v>
      </c>
      <c r="S251" s="74">
        <f>VLOOKUP($B251,'Standards Crosswalk'!$A:$I,9,FALSE)</f>
        <v>12.8</v>
      </c>
    </row>
    <row r="252" spans="1:25" ht="57.75" thickBot="1" x14ac:dyDescent="0.25">
      <c r="A252" s="73">
        <f t="shared" si="6"/>
        <v>250</v>
      </c>
      <c r="B252" s="79" t="s">
        <v>423</v>
      </c>
      <c r="C252" s="80" t="str">
        <f>VLOOKUP(B252,HECVAT!A:E,2,FALSE)</f>
        <v>Do you have a current, executed within the past year, Attestation of Compliance (AoC) or Report on Compliance (RoC)?</v>
      </c>
      <c r="D252" s="73">
        <f>VLOOKUP(B252,HECVAT!A:E,4,FALSE)</f>
        <v>0</v>
      </c>
      <c r="E252" s="81" t="b">
        <f>IF(Table1[[#This Row],[Column11]]&gt;20,TRUE,FALSE)</f>
        <v>1</v>
      </c>
      <c r="F252" s="88" t="s">
        <v>2063</v>
      </c>
      <c r="G252" s="82" t="s">
        <v>17</v>
      </c>
      <c r="H252" s="83">
        <v>1</v>
      </c>
      <c r="I252" s="73">
        <f>VLOOKUP(B252,HECVAT!A:E,3,FALSE)</f>
        <v>0</v>
      </c>
      <c r="J252" s="73">
        <f>IF(Table1[[#This Row],[Column7]]=Table1[[#This Row],[Column9]],1,0)</f>
        <v>0</v>
      </c>
      <c r="K252" s="73">
        <f>IF(Table1[[#This Row],[Column8]]=1,25,"")</f>
        <v>25</v>
      </c>
      <c r="L252" s="73">
        <f>IF(Table1[[#This Row],[Column8]]=1,J252*K252,"")</f>
        <v>0</v>
      </c>
      <c r="M252" s="74" t="str">
        <f>VLOOKUP($B252,'Standards Crosswalk'!$A:$H,3,FALSE)</f>
        <v>CSC 10</v>
      </c>
      <c r="N252" s="74">
        <f>VLOOKUP($B252,'Standards Crosswalk'!$A:$H,4,FALSE)</f>
        <v>0</v>
      </c>
      <c r="O252" s="74" t="str">
        <f>VLOOKUP($B252,'Standards Crosswalk'!$A:$H,5,FALSE)</f>
        <v>18.1.1</v>
      </c>
      <c r="P252" s="74" t="str">
        <f>VLOOKUP($B252,'Standards Crosswalk'!$A:$H,6,FALSE)</f>
        <v>ID.GV-3</v>
      </c>
      <c r="Q252" s="74">
        <f>VLOOKUP($B252,'Standards Crosswalk'!$A:$H,7,FALSE)</f>
        <v>0</v>
      </c>
      <c r="R252" s="74">
        <f>VLOOKUP($B252,'Standards Crosswalk'!$A:$H,8,FALSE)</f>
        <v>0</v>
      </c>
      <c r="S252" s="74">
        <f>VLOOKUP($B252,'Standards Crosswalk'!$A:$I,9,FALSE)</f>
        <v>12.8</v>
      </c>
    </row>
    <row r="253" spans="1:25" ht="29.25" thickBot="1" x14ac:dyDescent="0.25">
      <c r="A253" s="73">
        <f t="shared" si="6"/>
        <v>251</v>
      </c>
      <c r="B253" s="79" t="s">
        <v>424</v>
      </c>
      <c r="C253" s="80" t="str">
        <f>VLOOKUP(B253,HECVAT!A:E,2,FALSE)</f>
        <v>Are you classified as a service provider?</v>
      </c>
      <c r="D253" s="73">
        <f>VLOOKUP(B253,HECVAT!A:E,4,FALSE)</f>
        <v>0</v>
      </c>
      <c r="E253" s="81" t="b">
        <f>IF(Table1[[#This Row],[Column11]]&gt;20,TRUE,FALSE)</f>
        <v>0</v>
      </c>
      <c r="F253" s="88" t="s">
        <v>2063</v>
      </c>
      <c r="G253" s="82" t="s">
        <v>17</v>
      </c>
      <c r="H253" s="83">
        <v>1</v>
      </c>
      <c r="I253" s="73">
        <f>VLOOKUP(B253,HECVAT!A:E,3,FALSE)</f>
        <v>0</v>
      </c>
      <c r="J253" s="73">
        <f>IF(Table1[[#This Row],[Column7]]=Table1[[#This Row],[Column9]],1,0)</f>
        <v>0</v>
      </c>
      <c r="K253" s="73">
        <f>IF(Table1[[#This Row],[Column8]]=1,20,"")</f>
        <v>20</v>
      </c>
      <c r="L253" s="73">
        <f>IF(Table1[[#This Row],[Column8]]=1,J253*K253,"")</f>
        <v>0</v>
      </c>
      <c r="M253" s="74">
        <f>VLOOKUP($B253,'Standards Crosswalk'!$A:$H,3,FALSE)</f>
        <v>0</v>
      </c>
      <c r="N253" s="74">
        <f>VLOOKUP($B253,'Standards Crosswalk'!$A:$H,4,FALSE)</f>
        <v>0</v>
      </c>
      <c r="O253" s="74">
        <f>VLOOKUP($B253,'Standards Crosswalk'!$A:$H,5,FALSE)</f>
        <v>0</v>
      </c>
      <c r="P253" s="74" t="str">
        <f>VLOOKUP($B253,'Standards Crosswalk'!$A:$H,6,FALSE)</f>
        <v>ID.GV-3</v>
      </c>
      <c r="Q253" s="74">
        <f>VLOOKUP($B253,'Standards Crosswalk'!$A:$H,7,FALSE)</f>
        <v>0</v>
      </c>
      <c r="R253" s="74">
        <f>VLOOKUP($B253,'Standards Crosswalk'!$A:$H,8,FALSE)</f>
        <v>0</v>
      </c>
      <c r="S253" s="74">
        <f>VLOOKUP($B253,'Standards Crosswalk'!$A:$I,9,FALSE)</f>
        <v>12.8</v>
      </c>
    </row>
    <row r="254" spans="1:25" ht="29.25" thickBot="1" x14ac:dyDescent="0.25">
      <c r="A254" s="73">
        <f t="shared" si="6"/>
        <v>252</v>
      </c>
      <c r="B254" s="79" t="s">
        <v>425</v>
      </c>
      <c r="C254" s="80" t="str">
        <f>VLOOKUP(B254,HECVAT!A:E,2,FALSE)</f>
        <v xml:space="preserve">Are you on the list of VISA approved service providers? </v>
      </c>
      <c r="D254" s="73">
        <f>VLOOKUP(B254,HECVAT!A:E,4,FALSE)</f>
        <v>0</v>
      </c>
      <c r="E254" s="81" t="b">
        <f>IF(Table1[[#This Row],[Column11]]&gt;20,TRUE,FALSE)</f>
        <v>0</v>
      </c>
      <c r="F254" s="88" t="s">
        <v>2063</v>
      </c>
      <c r="G254" s="82" t="s">
        <v>17</v>
      </c>
      <c r="H254" s="83">
        <v>1</v>
      </c>
      <c r="I254" s="73">
        <f>VLOOKUP(B254,HECVAT!A:E,3,FALSE)</f>
        <v>0</v>
      </c>
      <c r="J254" s="73">
        <f>IF(Table1[[#This Row],[Column7]]=Table1[[#This Row],[Column9]],1,0)</f>
        <v>0</v>
      </c>
      <c r="K254" s="73">
        <f>IF(Table1[[#This Row],[Column8]]=1,20,"")</f>
        <v>20</v>
      </c>
      <c r="L254" s="73">
        <f>IF(Table1[[#This Row],[Column8]]=1,J254*K254,"")</f>
        <v>0</v>
      </c>
      <c r="M254" s="74">
        <f>VLOOKUP($B254,'Standards Crosswalk'!$A:$H,3,FALSE)</f>
        <v>0</v>
      </c>
      <c r="N254" s="74">
        <f>VLOOKUP($B254,'Standards Crosswalk'!$A:$H,4,FALSE)</f>
        <v>0</v>
      </c>
      <c r="O254" s="74">
        <f>VLOOKUP($B254,'Standards Crosswalk'!$A:$H,5,FALSE)</f>
        <v>0</v>
      </c>
      <c r="P254" s="74" t="str">
        <f>VLOOKUP($B254,'Standards Crosswalk'!$A:$H,6,FALSE)</f>
        <v>ID.GV-3</v>
      </c>
      <c r="Q254" s="74">
        <f>VLOOKUP($B254,'Standards Crosswalk'!$A:$H,7,FALSE)</f>
        <v>0</v>
      </c>
      <c r="R254" s="74">
        <f>VLOOKUP($B254,'Standards Crosswalk'!$A:$H,8,FALSE)</f>
        <v>0</v>
      </c>
      <c r="S254" s="74">
        <f>VLOOKUP($B254,'Standards Crosswalk'!$A:$I,9,FALSE)</f>
        <v>12.8</v>
      </c>
    </row>
    <row r="255" spans="1:25" ht="29.25" thickBot="1" x14ac:dyDescent="0.25">
      <c r="A255" s="73">
        <f t="shared" si="6"/>
        <v>253</v>
      </c>
      <c r="B255" s="79" t="s">
        <v>426</v>
      </c>
      <c r="C255" s="98" t="str">
        <f>VLOOKUP(B255,HECVAT!A:E,2,FALSE)</f>
        <v>Are you classified as a merchant?  If so, what level (1, 2, 3, 4)?</v>
      </c>
      <c r="D255" s="96">
        <f>VLOOKUP(B255,HECVAT!A:E,4,FALSE)</f>
        <v>0</v>
      </c>
      <c r="E255" s="81" t="b">
        <f>IF(Table1[[#This Row],[Column11]]&gt;20,TRUE,FALSE)</f>
        <v>1</v>
      </c>
      <c r="F255" s="88" t="s">
        <v>2063</v>
      </c>
      <c r="G255" s="82" t="s">
        <v>17</v>
      </c>
      <c r="H255" s="83">
        <v>1</v>
      </c>
      <c r="I255" s="96">
        <f>VLOOKUP(B255,HECVAT!A:E,3,FALSE)</f>
        <v>0</v>
      </c>
      <c r="J255" s="73">
        <f>IF(VLOOKUP(Table1[[#This Row],[Column2]],'Analyst Report'!$A$41:$G$88,7,FALSE)="Yes",1,0)</f>
        <v>0</v>
      </c>
      <c r="K255" s="73">
        <f>IF(Table1[[#This Row],[Column8]]=1,25,"")</f>
        <v>25</v>
      </c>
      <c r="L255" s="73">
        <f>IF(Table1[[#This Row],[Column8]]=1,J255*K255,"")</f>
        <v>0</v>
      </c>
      <c r="M255" s="102">
        <f>VLOOKUP($B255,'Standards Crosswalk'!$A:$H,3,FALSE)</f>
        <v>0</v>
      </c>
      <c r="N255" s="102">
        <f>VLOOKUP($B255,'Standards Crosswalk'!$A:$H,4,FALSE)</f>
        <v>0</v>
      </c>
      <c r="O255" s="102">
        <f>VLOOKUP($B255,'Standards Crosswalk'!$A:$H,5,FALSE)</f>
        <v>0</v>
      </c>
      <c r="P255" s="102" t="str">
        <f>VLOOKUP($B255,'Standards Crosswalk'!$A:$H,6,FALSE)</f>
        <v>ID.GV-3</v>
      </c>
      <c r="Q255" s="102">
        <f>VLOOKUP($B255,'Standards Crosswalk'!$A:$H,7,FALSE)</f>
        <v>0</v>
      </c>
      <c r="R255" s="102">
        <f>VLOOKUP($B255,'Standards Crosswalk'!$A:$H,8,FALSE)</f>
        <v>0</v>
      </c>
      <c r="S255" s="74">
        <f>VLOOKUP($B255,'Standards Crosswalk'!$A:$I,9,FALSE)</f>
        <v>12.8</v>
      </c>
      <c r="T255" s="96"/>
      <c r="U255" s="96"/>
      <c r="V255" s="96"/>
      <c r="W255" s="96"/>
      <c r="X255" s="96"/>
      <c r="Y255" s="96"/>
    </row>
    <row r="256" spans="1:25" ht="43.5" thickBot="1" x14ac:dyDescent="0.25">
      <c r="A256" s="73">
        <f t="shared" si="6"/>
        <v>254</v>
      </c>
      <c r="B256" s="79" t="s">
        <v>427</v>
      </c>
      <c r="C256" s="98" t="str">
        <f>VLOOKUP(B256,HECVAT!A:E,2,FALSE)</f>
        <v>Describe the architecture employed by the system to verify and authorize credit card transactions.</v>
      </c>
      <c r="D256" s="96">
        <f>VLOOKUP(B256,HECVAT!A:E,4,FALSE)</f>
        <v>0</v>
      </c>
      <c r="E256" s="81" t="b">
        <f>IF(Table1[[#This Row],[Column11]]&gt;20,TRUE,FALSE)</f>
        <v>0</v>
      </c>
      <c r="F256" s="88" t="s">
        <v>2063</v>
      </c>
      <c r="G256" s="82" t="s">
        <v>17</v>
      </c>
      <c r="H256" s="83">
        <v>1</v>
      </c>
      <c r="I256" s="96">
        <f>VLOOKUP(B256,HECVAT!A:E,3,FALSE)</f>
        <v>0</v>
      </c>
      <c r="J256" s="73">
        <f>IF(VLOOKUP(Table1[[#This Row],[Column2]],'Analyst Report'!$A$41:$G$88,7,FALSE)="Yes",1,0)</f>
        <v>0</v>
      </c>
      <c r="K256" s="73">
        <f>IF(Table1[[#This Row],[Column8]]=1,20,"")</f>
        <v>20</v>
      </c>
      <c r="L256" s="73">
        <f>IF(Table1[[#This Row],[Column8]]=1,J256*K256,"")</f>
        <v>0</v>
      </c>
      <c r="M256" s="102" t="str">
        <f>VLOOKUP($B256,'Standards Crosswalk'!$A:$H,3,FALSE)</f>
        <v>CSC 1, CSC 2</v>
      </c>
      <c r="N256" s="102">
        <f>VLOOKUP($B256,'Standards Crosswalk'!$A:$H,4,FALSE)</f>
        <v>0</v>
      </c>
      <c r="O256" s="102">
        <f>VLOOKUP($B256,'Standards Crosswalk'!$A:$H,5,FALSE)</f>
        <v>0</v>
      </c>
      <c r="P256" s="102" t="str">
        <f>VLOOKUP($B256,'Standards Crosswalk'!$A:$H,6,FALSE)</f>
        <v>ID.GV-3</v>
      </c>
      <c r="Q256" s="102">
        <f>VLOOKUP($B256,'Standards Crosswalk'!$A:$H,7,FALSE)</f>
        <v>0</v>
      </c>
      <c r="R256" s="102">
        <f>VLOOKUP($B256,'Standards Crosswalk'!$A:$H,8,FALSE)</f>
        <v>0</v>
      </c>
      <c r="S256" s="74" t="str">
        <f>VLOOKUP($B256,'Standards Crosswalk'!$A:$I,9,FALSE)</f>
        <v>PCI Scope</v>
      </c>
      <c r="T256" s="96"/>
      <c r="U256" s="96"/>
      <c r="V256" s="96"/>
      <c r="W256" s="96"/>
      <c r="X256" s="96"/>
      <c r="Y256" s="96"/>
    </row>
    <row r="257" spans="1:25" ht="43.5" thickBot="1" x14ac:dyDescent="0.25">
      <c r="A257" s="73">
        <f t="shared" si="6"/>
        <v>255</v>
      </c>
      <c r="B257" s="79" t="s">
        <v>428</v>
      </c>
      <c r="C257" s="98" t="str">
        <f>VLOOKUP(B257,HECVAT!A:E,2,FALSE)</f>
        <v xml:space="preserve">What payment processors/gateways does the system support? </v>
      </c>
      <c r="D257" s="96">
        <f>VLOOKUP(B257,HECVAT!A:E,4,FALSE)</f>
        <v>0</v>
      </c>
      <c r="E257" s="81" t="b">
        <f>IF(Table1[[#This Row],[Column11]]&gt;20,TRUE,FALSE)</f>
        <v>0</v>
      </c>
      <c r="F257" s="88" t="s">
        <v>2063</v>
      </c>
      <c r="G257" s="82" t="s">
        <v>17</v>
      </c>
      <c r="H257" s="83">
        <v>1</v>
      </c>
      <c r="I257" s="96">
        <f>VLOOKUP(B257,HECVAT!A:E,3,FALSE)</f>
        <v>0</v>
      </c>
      <c r="J257" s="73">
        <f>IF(VLOOKUP(Table1[[#This Row],[Column2]],'Analyst Report'!$A$41:$G$88,7,FALSE)="Yes",1,0)</f>
        <v>0</v>
      </c>
      <c r="K257" s="73">
        <f>IF(Table1[[#This Row],[Column8]]=1,20,"")</f>
        <v>20</v>
      </c>
      <c r="L257" s="73">
        <f>IF(Table1[[#This Row],[Column8]]=1,J257*K257,"")</f>
        <v>0</v>
      </c>
      <c r="M257" s="102" t="str">
        <f>VLOOKUP($B257,'Standards Crosswalk'!$A:$H,3,FALSE)</f>
        <v>CSC 18</v>
      </c>
      <c r="N257" s="102">
        <f>VLOOKUP($B257,'Standards Crosswalk'!$A:$H,4,FALSE)</f>
        <v>0</v>
      </c>
      <c r="O257" s="102">
        <f>VLOOKUP($B257,'Standards Crosswalk'!$A:$H,5,FALSE)</f>
        <v>0</v>
      </c>
      <c r="P257" s="102" t="str">
        <f>VLOOKUP($B257,'Standards Crosswalk'!$A:$H,6,FALSE)</f>
        <v>ID.GV-3</v>
      </c>
      <c r="Q257" s="102">
        <f>VLOOKUP($B257,'Standards Crosswalk'!$A:$H,7,FALSE)</f>
        <v>0</v>
      </c>
      <c r="R257" s="102">
        <f>VLOOKUP($B257,'Standards Crosswalk'!$A:$H,8,FALSE)</f>
        <v>0</v>
      </c>
      <c r="S257" s="74">
        <f>VLOOKUP($B257,'Standards Crosswalk'!$A:$I,9,FALSE)</f>
        <v>12.8</v>
      </c>
      <c r="T257" s="96"/>
      <c r="U257" s="96"/>
      <c r="V257" s="96"/>
      <c r="W257" s="96"/>
      <c r="X257" s="96"/>
      <c r="Y257" s="96"/>
    </row>
    <row r="258" spans="1:25" ht="29.25" thickBot="1" x14ac:dyDescent="0.25">
      <c r="A258" s="73">
        <f t="shared" si="6"/>
        <v>256</v>
      </c>
      <c r="B258" s="79" t="s">
        <v>429</v>
      </c>
      <c r="C258" s="80" t="str">
        <f>VLOOKUP(B258,HECVAT!A:E,2,FALSE)</f>
        <v>Can the application be installed in a PCI DSS compliant manner ?</v>
      </c>
      <c r="D258" s="73">
        <f>VLOOKUP(B258,HECVAT!A:E,4,FALSE)</f>
        <v>0</v>
      </c>
      <c r="E258" s="81" t="b">
        <f>IF(Table1[[#This Row],[Column11]]&gt;20,TRUE,FALSE)</f>
        <v>1</v>
      </c>
      <c r="F258" s="88" t="s">
        <v>2063</v>
      </c>
      <c r="G258" s="82" t="s">
        <v>17</v>
      </c>
      <c r="H258" s="83">
        <v>1</v>
      </c>
      <c r="I258" s="73">
        <f>VLOOKUP(B258,HECVAT!A:E,3,FALSE)</f>
        <v>0</v>
      </c>
      <c r="J258" s="73">
        <f>IF(Table1[[#This Row],[Column7]]=Table1[[#This Row],[Column9]],1,0)</f>
        <v>0</v>
      </c>
      <c r="K258" s="73">
        <f>IF(Table1[[#This Row],[Column8]]=1,25,"")</f>
        <v>25</v>
      </c>
      <c r="L258" s="73">
        <f>IF(Table1[[#This Row],[Column8]]=1,J258*K258,"")</f>
        <v>0</v>
      </c>
      <c r="M258" s="74" t="str">
        <f>VLOOKUP($B258,'Standards Crosswalk'!$A:$H,3,FALSE)</f>
        <v>CSC 10</v>
      </c>
      <c r="N258" s="74">
        <f>VLOOKUP($B258,'Standards Crosswalk'!$A:$H,4,FALSE)</f>
        <v>0</v>
      </c>
      <c r="O258" s="74">
        <f>VLOOKUP($B258,'Standards Crosswalk'!$A:$H,5,FALSE)</f>
        <v>0</v>
      </c>
      <c r="P258" s="74" t="str">
        <f>VLOOKUP($B258,'Standards Crosswalk'!$A:$H,6,FALSE)</f>
        <v>ID.GV-3</v>
      </c>
      <c r="Q258" s="74">
        <f>VLOOKUP($B258,'Standards Crosswalk'!$A:$H,7,FALSE)</f>
        <v>0</v>
      </c>
      <c r="R258" s="74">
        <f>VLOOKUP($B258,'Standards Crosswalk'!$A:$H,8,FALSE)</f>
        <v>0</v>
      </c>
      <c r="S258" s="74">
        <f>VLOOKUP($B258,'Standards Crosswalk'!$A:$I,9,FALSE)</f>
        <v>12.8</v>
      </c>
    </row>
    <row r="259" spans="1:25" ht="29.25" thickBot="1" x14ac:dyDescent="0.25">
      <c r="A259" s="73">
        <f t="shared" si="6"/>
        <v>257</v>
      </c>
      <c r="B259" s="79" t="s">
        <v>430</v>
      </c>
      <c r="C259" s="80" t="str">
        <f>VLOOKUP(B259,HECVAT!A:E,2,FALSE)</f>
        <v xml:space="preserve">Is the application listed as an approved PA-DSS application? </v>
      </c>
      <c r="D259" s="73">
        <f>VLOOKUP(B259,HECVAT!A:E,4,FALSE)</f>
        <v>0</v>
      </c>
      <c r="E259" s="81" t="b">
        <f>IF(Table1[[#This Row],[Column11]]&gt;20,TRUE,FALSE)</f>
        <v>0</v>
      </c>
      <c r="F259" s="88" t="s">
        <v>2063</v>
      </c>
      <c r="G259" s="82" t="s">
        <v>17</v>
      </c>
      <c r="H259" s="83">
        <v>1</v>
      </c>
      <c r="I259" s="73">
        <f>VLOOKUP(B259,HECVAT!A:E,3,FALSE)</f>
        <v>0</v>
      </c>
      <c r="J259" s="73">
        <f>IF(Table1[[#This Row],[Column7]]=Table1[[#This Row],[Column9]],1,0)</f>
        <v>0</v>
      </c>
      <c r="K259" s="73">
        <f>IF(Table1[[#This Row],[Column8]]=1,20,"")</f>
        <v>20</v>
      </c>
      <c r="L259" s="73">
        <f>IF(Table1[[#This Row],[Column8]]=1,J259*K259,"")</f>
        <v>0</v>
      </c>
      <c r="M259" s="74">
        <f>VLOOKUP($B259,'Standards Crosswalk'!$A:$H,3,FALSE)</f>
        <v>0</v>
      </c>
      <c r="N259" s="74">
        <f>VLOOKUP($B259,'Standards Crosswalk'!$A:$H,4,FALSE)</f>
        <v>0</v>
      </c>
      <c r="O259" s="74">
        <f>VLOOKUP($B259,'Standards Crosswalk'!$A:$H,5,FALSE)</f>
        <v>0</v>
      </c>
      <c r="P259" s="74" t="str">
        <f>VLOOKUP($B259,'Standards Crosswalk'!$A:$H,6,FALSE)</f>
        <v>ID.GV-3</v>
      </c>
      <c r="Q259" s="74">
        <f>VLOOKUP($B259,'Standards Crosswalk'!$A:$H,7,FALSE)</f>
        <v>0</v>
      </c>
      <c r="R259" s="74">
        <f>VLOOKUP($B259,'Standards Crosswalk'!$A:$H,8,FALSE)</f>
        <v>0</v>
      </c>
      <c r="S259" s="74">
        <f>VLOOKUP($B259,'Standards Crosswalk'!$A:$I,9,FALSE)</f>
        <v>12.8</v>
      </c>
    </row>
    <row r="260" spans="1:25" ht="57.75" thickBot="1" x14ac:dyDescent="0.25">
      <c r="A260" s="73">
        <f t="shared" ref="A260:A268" si="7">A259+1</f>
        <v>258</v>
      </c>
      <c r="B260" s="79" t="s">
        <v>431</v>
      </c>
      <c r="C260" s="80" t="str">
        <f>VLOOKUP(B260,HECVAT!A:E,2,FALSE)</f>
        <v>Does the system or products use a third party to collect, store, process, or transmit cardholder (payment/credit/debt card) data?</v>
      </c>
      <c r="D260" s="73">
        <f>VLOOKUP(B260,HECVAT!A:E,4,FALSE)</f>
        <v>0</v>
      </c>
      <c r="E260" s="81" t="b">
        <f>IF(Table1[[#This Row],[Column11]]&gt;20,TRUE,FALSE)</f>
        <v>0</v>
      </c>
      <c r="F260" s="88" t="s">
        <v>2063</v>
      </c>
      <c r="G260" s="82" t="s">
        <v>21</v>
      </c>
      <c r="H260" s="83">
        <v>1</v>
      </c>
      <c r="I260" s="73">
        <f>VLOOKUP(B260,HECVAT!A:E,3,FALSE)</f>
        <v>0</v>
      </c>
      <c r="J260" s="73">
        <f>IF(Table1[[#This Row],[Column7]]=Table1[[#This Row],[Column9]],1,0)</f>
        <v>0</v>
      </c>
      <c r="K260" s="73">
        <f>IF(Table1[[#This Row],[Column8]]=1,20,"")</f>
        <v>20</v>
      </c>
      <c r="L260" s="73">
        <f>IF(Table1[[#This Row],[Column8]]=1,J260*K260,"")</f>
        <v>0</v>
      </c>
      <c r="M260" s="74" t="str">
        <f>VLOOKUP($B260,'Standards Crosswalk'!$A:$H,3,FALSE)</f>
        <v>CSC 12, CSC 13</v>
      </c>
      <c r="N260" s="74">
        <f>VLOOKUP($B260,'Standards Crosswalk'!$A:$H,4,FALSE)</f>
        <v>0</v>
      </c>
      <c r="O260" s="74">
        <f>VLOOKUP($B260,'Standards Crosswalk'!$A:$H,5,FALSE)</f>
        <v>0</v>
      </c>
      <c r="P260" s="74" t="str">
        <f>VLOOKUP($B260,'Standards Crosswalk'!$A:$H,6,FALSE)</f>
        <v>ID.GV-3</v>
      </c>
      <c r="Q260" s="74">
        <f>VLOOKUP($B260,'Standards Crosswalk'!$A:$H,7,FALSE)</f>
        <v>0</v>
      </c>
      <c r="R260" s="74">
        <f>VLOOKUP($B260,'Standards Crosswalk'!$A:$H,8,FALSE)</f>
        <v>0</v>
      </c>
      <c r="S260" s="74">
        <f>VLOOKUP($B260,'Standards Crosswalk'!$A:$I,9,FALSE)</f>
        <v>12.8</v>
      </c>
    </row>
    <row r="261" spans="1:25" ht="100.5" thickBot="1" x14ac:dyDescent="0.25">
      <c r="A261" s="73">
        <f t="shared" si="7"/>
        <v>259</v>
      </c>
      <c r="B261" s="79" t="s">
        <v>432</v>
      </c>
      <c r="C261" s="80" t="str">
        <f>VLOOKUP(B261,HECVAT!A:E,2,FALSE)</f>
        <v xml:space="preserve">Include documentation describing the systems' abilities to comply with the PCI DSS and any features or capabilities of the system that must be added or changed in order to operate in compliance with the standards. </v>
      </c>
      <c r="D261" s="73">
        <f>VLOOKUP(B261,HECVAT!A:E,4,FALSE)</f>
        <v>0</v>
      </c>
      <c r="E261" s="81" t="b">
        <f>IF(Table1[[#This Row],[Column11]]&gt;20,TRUE,FALSE)</f>
        <v>0</v>
      </c>
      <c r="F261" s="88" t="s">
        <v>2063</v>
      </c>
      <c r="G261" s="82" t="s">
        <v>21</v>
      </c>
      <c r="H261" s="83">
        <v>1</v>
      </c>
      <c r="I261" s="73">
        <f>VLOOKUP(B261,HECVAT!A:E,3,FALSE)</f>
        <v>0</v>
      </c>
      <c r="J261" s="73">
        <f>IF(VLOOKUP(Table1[[#This Row],[Column2]],'Analyst Report'!$A$41:$G$88,7,FALSE)="Yes",1,0)</f>
        <v>0</v>
      </c>
      <c r="K261" s="73">
        <f>IF(Table1[[#This Row],[Column8]]=1,20,"")</f>
        <v>20</v>
      </c>
      <c r="L261" s="73">
        <f>IF(Table1[[#This Row],[Column8]]=1,J261*K261,"")</f>
        <v>0</v>
      </c>
      <c r="M261" s="74" t="str">
        <f>VLOOKUP($B261,'Standards Crosswalk'!$A:$H,3,FALSE)</f>
        <v>CSC 10</v>
      </c>
      <c r="N261" s="74">
        <f>VLOOKUP($B261,'Standards Crosswalk'!$A:$H,4,FALSE)</f>
        <v>0</v>
      </c>
      <c r="O261" s="74">
        <f>VLOOKUP($B261,'Standards Crosswalk'!$A:$H,5,FALSE)</f>
        <v>0</v>
      </c>
      <c r="P261" s="74" t="str">
        <f>VLOOKUP($B261,'Standards Crosswalk'!$A:$H,6,FALSE)</f>
        <v>ID.GV-3</v>
      </c>
      <c r="Q261" s="74">
        <f>VLOOKUP($B261,'Standards Crosswalk'!$A:$H,7,FALSE)</f>
        <v>0</v>
      </c>
      <c r="R261" s="74">
        <f>VLOOKUP($B261,'Standards Crosswalk'!$A:$H,8,FALSE)</f>
        <v>0</v>
      </c>
      <c r="S261" s="74">
        <f>VLOOKUP($B261,'Standards Crosswalk'!$A:$I,9,FALSE)</f>
        <v>12.8</v>
      </c>
    </row>
    <row r="262" spans="1:25" ht="57.75" thickBot="1" x14ac:dyDescent="0.25">
      <c r="A262" s="73">
        <f t="shared" si="7"/>
        <v>260</v>
      </c>
      <c r="B262" s="129" t="s">
        <v>183</v>
      </c>
      <c r="C262" s="130" t="str">
        <f>VLOOKUP(B262,HECVAT!A:E,2,FALSE)</f>
        <v>Describe your organization’s business background and ownership structure, including all parent and subsidiary relationships.</v>
      </c>
      <c r="D262" s="128">
        <f>VLOOKUP(B262,HECVAT!A:E,4,FALSE)</f>
        <v>0</v>
      </c>
      <c r="E262" s="131" t="b">
        <f>IF(Table1[[#This Row],[Column11]]&gt;20,TRUE,FALSE)</f>
        <v>0</v>
      </c>
      <c r="F262" s="132" t="s">
        <v>2576</v>
      </c>
      <c r="G262" s="133"/>
      <c r="H262" s="134">
        <v>1</v>
      </c>
      <c r="I262" s="128">
        <f>VLOOKUP(B262,HECVAT!A:E,3,FALSE)</f>
        <v>0</v>
      </c>
      <c r="J262" s="128">
        <f>IF(VLOOKUP(Table1[[#This Row],[Column2]],'Analyst Report'!$A$38:$G$88,7,FALSE)="Yes",1,0)</f>
        <v>0</v>
      </c>
      <c r="K262" s="128">
        <f>IF(Table1[[#This Row],[Column8]]=1,10,"")</f>
        <v>10</v>
      </c>
      <c r="L262" s="73">
        <f>IF(Table1[[#This Row],[Column8]]=1,J262*K262,"")</f>
        <v>0</v>
      </c>
      <c r="M262" s="135">
        <f>VLOOKUP($B262,'Standards Crosswalk'!$A:$H,3,FALSE)</f>
        <v>0</v>
      </c>
      <c r="N262" s="135">
        <f>VLOOKUP($B262,'Standards Crosswalk'!$A:$H,4,FALSE)</f>
        <v>0</v>
      </c>
      <c r="O262" s="135">
        <f>VLOOKUP($B262,'Standards Crosswalk'!$A:$H,5,FALSE)</f>
        <v>0</v>
      </c>
      <c r="P262" s="135">
        <f>VLOOKUP($B262,'Standards Crosswalk'!$A:$H,6,FALSE)</f>
        <v>0</v>
      </c>
      <c r="Q262" s="135">
        <f>VLOOKUP($B262,'Standards Crosswalk'!$A:$H,7,FALSE)</f>
        <v>0</v>
      </c>
      <c r="R262" s="135">
        <f>VLOOKUP($B262,'Standards Crosswalk'!$A:$H,8,FALSE)</f>
        <v>0</v>
      </c>
      <c r="S262" s="135">
        <f>VLOOKUP($B262,'Standards Crosswalk'!$A:$I,9,FALSE)</f>
        <v>12.8</v>
      </c>
    </row>
    <row r="263" spans="1:25" ht="43.5" thickBot="1" x14ac:dyDescent="0.25">
      <c r="A263" s="73">
        <f t="shared" si="7"/>
        <v>261</v>
      </c>
      <c r="B263" s="129" t="s">
        <v>184</v>
      </c>
      <c r="C263" s="130" t="str">
        <f>VLOOKUP(B263,HECVAT!A:E,2,FALSE)</f>
        <v>Describe how long your organization has conducted business in this product area.</v>
      </c>
      <c r="D263" s="128">
        <f>VLOOKUP(B263,HECVAT!A:E,4,FALSE)</f>
        <v>0</v>
      </c>
      <c r="E263" s="131" t="b">
        <f>IF(Table1[[#This Row],[Column11]]&gt;20,TRUE,FALSE)</f>
        <v>0</v>
      </c>
      <c r="F263" s="132" t="s">
        <v>2576</v>
      </c>
      <c r="G263" s="133"/>
      <c r="H263" s="134">
        <v>1</v>
      </c>
      <c r="I263" s="128">
        <f>VLOOKUP(B263,HECVAT!A:E,3,FALSE)</f>
        <v>0</v>
      </c>
      <c r="J263" s="128">
        <f>IF(VLOOKUP(Table1[[#This Row],[Column2]],'Analyst Report'!$A$38:$G$88,7,FALSE)="Yes",1,0)</f>
        <v>0</v>
      </c>
      <c r="K263" s="128">
        <f>IF(Table1[[#This Row],[Column8]]=1,10,"")</f>
        <v>10</v>
      </c>
      <c r="L263" s="73">
        <f>IF(Table1[[#This Row],[Column8]]=1,J263*K263,"")</f>
        <v>0</v>
      </c>
      <c r="M263" s="135">
        <f>VLOOKUP($B263,'Standards Crosswalk'!$A:$H,3,FALSE)</f>
        <v>0</v>
      </c>
      <c r="N263" s="135">
        <f>VLOOKUP($B263,'Standards Crosswalk'!$A:$H,4,FALSE)</f>
        <v>0</v>
      </c>
      <c r="O263" s="135">
        <f>VLOOKUP($B263,'Standards Crosswalk'!$A:$H,5,FALSE)</f>
        <v>0</v>
      </c>
      <c r="P263" s="135">
        <f>VLOOKUP($B263,'Standards Crosswalk'!$A:$H,6,FALSE)</f>
        <v>0</v>
      </c>
      <c r="Q263" s="135">
        <f>VLOOKUP($B263,'Standards Crosswalk'!$A:$H,7,FALSE)</f>
        <v>0</v>
      </c>
      <c r="R263" s="135">
        <f>VLOOKUP($B263,'Standards Crosswalk'!$A:$H,8,FALSE)</f>
        <v>0</v>
      </c>
      <c r="S263" s="135">
        <f>VLOOKUP($B263,'Standards Crosswalk'!$A:$I,9,FALSE)</f>
        <v>12.8</v>
      </c>
    </row>
    <row r="264" spans="1:25" ht="29.25" thickBot="1" x14ac:dyDescent="0.25">
      <c r="A264" s="73">
        <f t="shared" si="7"/>
        <v>262</v>
      </c>
      <c r="B264" s="129" t="s">
        <v>185</v>
      </c>
      <c r="C264" s="130" t="str">
        <f>VLOOKUP(B264,HECVAT!A:E,2,FALSE)</f>
        <v>Do you have existing higher education customers?</v>
      </c>
      <c r="D264" s="128">
        <f>VLOOKUP(B264,HECVAT!A:E,4,FALSE)</f>
        <v>0</v>
      </c>
      <c r="E264" s="131" t="b">
        <f>IF(Table1[[#This Row],[Column11]]&gt;20,TRUE,FALSE)</f>
        <v>0</v>
      </c>
      <c r="F264" s="132" t="s">
        <v>2576</v>
      </c>
      <c r="G264" s="133" t="s">
        <v>17</v>
      </c>
      <c r="H264" s="134">
        <v>1</v>
      </c>
      <c r="I264" s="128">
        <f>VLOOKUP(B264,HECVAT!A:E,3,FALSE)</f>
        <v>0</v>
      </c>
      <c r="J264" s="73">
        <f>IF(Table1[[#This Row],[Column7]]=Table1[[#This Row],[Column9]],1,0)</f>
        <v>0</v>
      </c>
      <c r="K264" s="128">
        <f>IF(Table1[[#This Row],[Column8]]=1,10,"")</f>
        <v>10</v>
      </c>
      <c r="L264" s="73">
        <f>IF(Table1[[#This Row],[Column8]]=1,J264*K264,"")</f>
        <v>0</v>
      </c>
      <c r="M264" s="135">
        <f>VLOOKUP($B264,'Standards Crosswalk'!$A:$H,3,FALSE)</f>
        <v>0</v>
      </c>
      <c r="N264" s="135">
        <f>VLOOKUP($B264,'Standards Crosswalk'!$A:$H,4,FALSE)</f>
        <v>0</v>
      </c>
      <c r="O264" s="135" t="str">
        <f>VLOOKUP($B264,'Standards Crosswalk'!$A:$H,5,FALSE)</f>
        <v>15.2.1</v>
      </c>
      <c r="P264" s="135">
        <f>VLOOKUP($B264,'Standards Crosswalk'!$A:$H,6,FALSE)</f>
        <v>0</v>
      </c>
      <c r="Q264" s="135">
        <f>VLOOKUP($B264,'Standards Crosswalk'!$A:$H,7,FALSE)</f>
        <v>0</v>
      </c>
      <c r="R264" s="135">
        <f>VLOOKUP($B264,'Standards Crosswalk'!$A:$H,8,FALSE)</f>
        <v>0</v>
      </c>
      <c r="S264" s="135">
        <f>VLOOKUP($B264,'Standards Crosswalk'!$A:$I,9,FALSE)</f>
        <v>12.8</v>
      </c>
    </row>
    <row r="265" spans="1:25" ht="29.25" thickBot="1" x14ac:dyDescent="0.25">
      <c r="A265" s="73">
        <f t="shared" si="7"/>
        <v>263</v>
      </c>
      <c r="B265" s="129" t="s">
        <v>186</v>
      </c>
      <c r="C265" s="130" t="str">
        <f>VLOOKUP(B265,HECVAT!A:E,2,FALSE)</f>
        <v>Have you had a significant breach in the last 5 years?</v>
      </c>
      <c r="D265" s="128">
        <f>VLOOKUP(B265,HECVAT!A:E,4,FALSE)</f>
        <v>0</v>
      </c>
      <c r="E265" s="131" t="b">
        <f>IF(Table1[[#This Row],[Column11]]&gt;20,TRUE,FALSE)</f>
        <v>1</v>
      </c>
      <c r="F265" s="132" t="s">
        <v>2576</v>
      </c>
      <c r="G265" s="133" t="s">
        <v>21</v>
      </c>
      <c r="H265" s="134">
        <v>1</v>
      </c>
      <c r="I265" s="128">
        <f>VLOOKUP(B265,HECVAT!A:E,3,FALSE)</f>
        <v>0</v>
      </c>
      <c r="J265" s="73">
        <f>IF(Table1[[#This Row],[Column7]]=Table1[[#This Row],[Column9]],1,0)</f>
        <v>0</v>
      </c>
      <c r="K265" s="128">
        <f>IF(Table1[[#This Row],[Column8]]=1,25,"")</f>
        <v>25</v>
      </c>
      <c r="L265" s="73">
        <f>IF(Table1[[#This Row],[Column8]]=1,J265*K265,"")</f>
        <v>0</v>
      </c>
      <c r="M265" s="135">
        <f>VLOOKUP($B265,'Standards Crosswalk'!$A:$H,3,FALSE)</f>
        <v>0</v>
      </c>
      <c r="N265" s="135">
        <f>VLOOKUP($B265,'Standards Crosswalk'!$A:$H,4,FALSE)</f>
        <v>0</v>
      </c>
      <c r="O265" s="135">
        <f>VLOOKUP($B265,'Standards Crosswalk'!$A:$H,5,FALSE)</f>
        <v>0</v>
      </c>
      <c r="P265" s="135">
        <f>VLOOKUP($B265,'Standards Crosswalk'!$A:$H,6,FALSE)</f>
        <v>0</v>
      </c>
      <c r="Q265" s="135">
        <f>VLOOKUP($B265,'Standards Crosswalk'!$A:$H,7,FALSE)</f>
        <v>0</v>
      </c>
      <c r="R265" s="135">
        <f>VLOOKUP($B265,'Standards Crosswalk'!$A:$H,8,FALSE)</f>
        <v>0</v>
      </c>
      <c r="S265" s="135">
        <f>VLOOKUP($B265,'Standards Crosswalk'!$A:$I,9,FALSE)</f>
        <v>0</v>
      </c>
    </row>
    <row r="266" spans="1:25" ht="29.25" thickBot="1" x14ac:dyDescent="0.25">
      <c r="A266" s="73">
        <f t="shared" si="7"/>
        <v>264</v>
      </c>
      <c r="B266" s="129" t="s">
        <v>187</v>
      </c>
      <c r="C266" s="130" t="str">
        <f>VLOOKUP(B266,HECVAT!A:E,2,FALSE)</f>
        <v>Do you have a dedicated Information Security staff or office?</v>
      </c>
      <c r="D266" s="128">
        <f>VLOOKUP(B266,HECVAT!A:E,4,FALSE)</f>
        <v>0</v>
      </c>
      <c r="E266" s="131" t="b">
        <f>IF(Table1[[#This Row],[Column11]]&gt;20,TRUE,FALSE)</f>
        <v>1</v>
      </c>
      <c r="F266" s="132" t="s">
        <v>2576</v>
      </c>
      <c r="G266" s="133" t="s">
        <v>17</v>
      </c>
      <c r="H266" s="134">
        <v>1</v>
      </c>
      <c r="I266" s="128">
        <f>VLOOKUP(B266,HECVAT!A:E,3,FALSE)</f>
        <v>0</v>
      </c>
      <c r="J266" s="73">
        <f>IF(Table1[[#This Row],[Column7]]=Table1[[#This Row],[Column9]],1,0)</f>
        <v>0</v>
      </c>
      <c r="K266" s="128">
        <f>IF(Table1[[#This Row],[Column8]]=1,25,"")</f>
        <v>25</v>
      </c>
      <c r="L266" s="73">
        <f>IF(Table1[[#This Row],[Column8]]=1,J266*K266,"")</f>
        <v>0</v>
      </c>
      <c r="M266" s="135">
        <f>VLOOKUP($B266,'Standards Crosswalk'!$A:$H,3,FALSE)</f>
        <v>0</v>
      </c>
      <c r="N266" s="135">
        <f>VLOOKUP($B266,'Standards Crosswalk'!$A:$H,4,FALSE)</f>
        <v>0</v>
      </c>
      <c r="O266" s="135" t="str">
        <f>VLOOKUP($B266,'Standards Crosswalk'!$A:$H,5,FALSE)</f>
        <v>15.2.1</v>
      </c>
      <c r="P266" s="135">
        <f>VLOOKUP($B266,'Standards Crosswalk'!$A:$H,6,FALSE)</f>
        <v>0</v>
      </c>
      <c r="Q266" s="135">
        <f>VLOOKUP($B266,'Standards Crosswalk'!$A:$H,7,FALSE)</f>
        <v>0</v>
      </c>
      <c r="R266" s="135">
        <f>VLOOKUP($B266,'Standards Crosswalk'!$A:$H,8,FALSE)</f>
        <v>0</v>
      </c>
      <c r="S266" s="135" t="str">
        <f>VLOOKUP($B266,'Standards Crosswalk'!$A:$I,9,FALSE)</f>
        <v>12.8, 12.5</v>
      </c>
    </row>
    <row r="267" spans="1:25" ht="72" thickBot="1" x14ac:dyDescent="0.25">
      <c r="A267" s="73">
        <f t="shared" si="7"/>
        <v>265</v>
      </c>
      <c r="B267" s="129" t="s">
        <v>188</v>
      </c>
      <c r="C267" s="130" t="str">
        <f>VLOOKUP(B267,HECVAT!A:E,2,FALSE)</f>
        <v>Do you have a dedicated Software and System Development team(s)? (e.g. Customer Support, Implementation, Product Management, etc.)</v>
      </c>
      <c r="D267" s="128">
        <f>VLOOKUP(B267,HECVAT!A:E,4,FALSE)</f>
        <v>0</v>
      </c>
      <c r="E267" s="131" t="b">
        <f>IF(Table1[[#This Row],[Column11]]&gt;20,TRUE,FALSE)</f>
        <v>0</v>
      </c>
      <c r="F267" s="132" t="s">
        <v>2576</v>
      </c>
      <c r="G267" s="133" t="s">
        <v>17</v>
      </c>
      <c r="H267" s="134">
        <v>1</v>
      </c>
      <c r="I267" s="128">
        <f>VLOOKUP(B267,HECVAT!A:E,3,FALSE)</f>
        <v>0</v>
      </c>
      <c r="J267" s="128">
        <f>IF(Table1[[#This Row],[Column7]]=Table1[[#This Row],[Column9]],1,0)</f>
        <v>0</v>
      </c>
      <c r="K267" s="128">
        <f>IF(Table1[[#This Row],[Column8]]=1,15,"")</f>
        <v>15</v>
      </c>
      <c r="L267" s="73">
        <f>IF(Table1[[#This Row],[Column8]]=1,J267*K267,"")</f>
        <v>0</v>
      </c>
      <c r="M267" s="135">
        <f>VLOOKUP($B267,'Standards Crosswalk'!$A:$H,3,FALSE)</f>
        <v>0</v>
      </c>
      <c r="N267" s="135">
        <f>VLOOKUP($B267,'Standards Crosswalk'!$A:$H,4,FALSE)</f>
        <v>0</v>
      </c>
      <c r="O267" s="135" t="str">
        <f>VLOOKUP($B267,'Standards Crosswalk'!$A:$H,5,FALSE)</f>
        <v>14.2.1</v>
      </c>
      <c r="P267" s="135">
        <f>VLOOKUP($B267,'Standards Crosswalk'!$A:$H,6,FALSE)</f>
        <v>0</v>
      </c>
      <c r="Q267" s="135">
        <f>VLOOKUP($B267,'Standards Crosswalk'!$A:$H,7,FALSE)</f>
        <v>0</v>
      </c>
      <c r="R267" s="135" t="str">
        <f>VLOOKUP($B267,'Standards Crosswalk'!$A:$H,8,FALSE)</f>
        <v xml:space="preserve">SA-3, SA-15, SC-2, PM-2, PM-10, SI-5,PM-3 </v>
      </c>
      <c r="S267" s="135">
        <f>VLOOKUP($B267,'Standards Crosswalk'!$A:$I,9,FALSE)</f>
        <v>12.8</v>
      </c>
    </row>
    <row r="268" spans="1:25" ht="57" x14ac:dyDescent="0.2">
      <c r="A268" s="73">
        <f t="shared" si="7"/>
        <v>266</v>
      </c>
      <c r="B268" s="129" t="s">
        <v>437</v>
      </c>
      <c r="C268" s="130" t="str">
        <f>VLOOKUP(B268,HECVAT!A:E,2,FALSE)</f>
        <v>Use this area to share information about your environment that will assist those who are assessing your company data security program.</v>
      </c>
      <c r="D268" s="128">
        <f>VLOOKUP(B268,HECVAT!A:E,4,FALSE)</f>
        <v>0</v>
      </c>
      <c r="E268" s="131" t="b">
        <f>IF(Table1[[#This Row],[Column11]]&gt;20,TRUE,FALSE)</f>
        <v>1</v>
      </c>
      <c r="F268" s="132" t="s">
        <v>2576</v>
      </c>
      <c r="G268" s="133"/>
      <c r="H268" s="134">
        <v>1</v>
      </c>
      <c r="I268" s="128">
        <f>VLOOKUP(B268,HECVAT!A:E,3,FALSE)</f>
        <v>0</v>
      </c>
      <c r="J268" s="128">
        <f>IF(VLOOKUP(Table1[[#This Row],[Column2]],'Analyst Report'!$A$38:$G$88,7,FALSE)="Yes",1,0)</f>
        <v>0</v>
      </c>
      <c r="K268" s="128">
        <f>IF(Table1[[#This Row],[Column8]]=1,25,"")</f>
        <v>25</v>
      </c>
      <c r="L268" s="73">
        <f>IF(Table1[[#This Row],[Column8]]=1,J268*K268,"")</f>
        <v>0</v>
      </c>
      <c r="M268" s="135">
        <f>VLOOKUP($B268,'Standards Crosswalk'!$A:$H,3,FALSE)</f>
        <v>0</v>
      </c>
      <c r="N268" s="135">
        <f>VLOOKUP($B268,'Standards Crosswalk'!$A:$H,4,FALSE)</f>
        <v>0</v>
      </c>
      <c r="O268" s="135" t="str">
        <f>VLOOKUP($B268,'Standards Crosswalk'!$A:$H,5,FALSE)</f>
        <v>15.2.1</v>
      </c>
      <c r="P268" s="135">
        <f>VLOOKUP($B268,'Standards Crosswalk'!$A:$H,6,FALSE)</f>
        <v>0</v>
      </c>
      <c r="Q268" s="135">
        <f>VLOOKUP($B268,'Standards Crosswalk'!$A:$H,7,FALSE)</f>
        <v>0</v>
      </c>
      <c r="R268" s="135">
        <f>VLOOKUP($B268,'Standards Crosswalk'!$A:$H,8,FALSE)</f>
        <v>0</v>
      </c>
      <c r="S268" s="135">
        <f>VLOOKUP($B268,'Standards Crosswalk'!$A:$I,9,FALSE)</f>
        <v>12.8</v>
      </c>
    </row>
  </sheetData>
  <pageMargins left="0.7" right="0.7" top="0.75" bottom="0.75" header="0.3" footer="0.3"/>
  <pageSetup orientation="portrait" verticalDpi="0" r:id="rId1"/>
  <ignoredErrors>
    <ignoredError sqref="I261:I268 I20:I22"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L1685"/>
  <sheetViews>
    <sheetView topLeftCell="A43" workbookViewId="0">
      <selection activeCell="C49" sqref="C49"/>
    </sheetView>
  </sheetViews>
  <sheetFormatPr defaultColWidth="8.59765625" defaultRowHeight="11.25" x14ac:dyDescent="0.2"/>
  <cols>
    <col min="1" max="1" width="10.09765625" style="95" bestFit="1" customWidth="1"/>
    <col min="2" max="2" width="8.5" style="95" customWidth="1"/>
    <col min="3" max="3" width="26.69921875" style="95" bestFit="1" customWidth="1"/>
    <col min="4" max="4" width="12.19921875" style="95" bestFit="1" customWidth="1"/>
    <col min="5" max="5" width="7.296875" style="95" bestFit="1" customWidth="1"/>
    <col min="6" max="6" width="9.3984375" style="95" bestFit="1" customWidth="1"/>
    <col min="7" max="7" width="12" style="95" bestFit="1" customWidth="1"/>
    <col min="8" max="8" width="15.5" style="95" bestFit="1" customWidth="1"/>
    <col min="9" max="9" width="11.69921875" style="95" bestFit="1" customWidth="1"/>
    <col min="10" max="10" width="13.8984375" style="95" bestFit="1" customWidth="1"/>
    <col min="11" max="11" width="8.09765625" style="95" customWidth="1"/>
    <col min="12" max="16384" width="8.59765625" style="95"/>
  </cols>
  <sheetData>
    <row r="1" spans="1:12" ht="15" x14ac:dyDescent="0.2">
      <c r="A1" s="234" t="s">
        <v>2046</v>
      </c>
      <c r="B1" s="95" t="s">
        <v>2105</v>
      </c>
      <c r="L1"/>
    </row>
    <row r="2" spans="1:12" ht="15" x14ac:dyDescent="0.2">
      <c r="A2" s="234" t="s">
        <v>2074</v>
      </c>
      <c r="B2" s="235">
        <v>0</v>
      </c>
      <c r="L2"/>
    </row>
    <row r="3" spans="1:12" ht="15" x14ac:dyDescent="0.2">
      <c r="L3"/>
    </row>
    <row r="4" spans="1:12" ht="22.5" x14ac:dyDescent="0.2">
      <c r="A4" s="234" t="s">
        <v>2104</v>
      </c>
      <c r="B4" s="234" t="s">
        <v>2043</v>
      </c>
      <c r="C4" s="234" t="s">
        <v>2044</v>
      </c>
      <c r="D4" s="234" t="s">
        <v>2045</v>
      </c>
      <c r="E4" s="234" t="s">
        <v>2102</v>
      </c>
      <c r="F4" s="234" t="s">
        <v>579</v>
      </c>
      <c r="G4" s="234" t="s">
        <v>2103</v>
      </c>
      <c r="H4" s="234" t="s">
        <v>582</v>
      </c>
      <c r="I4" s="234" t="s">
        <v>581</v>
      </c>
      <c r="J4" s="234" t="s">
        <v>580</v>
      </c>
      <c r="K4" s="234" t="s">
        <v>2063</v>
      </c>
      <c r="L4"/>
    </row>
    <row r="5" spans="1:12" ht="45" x14ac:dyDescent="0.2">
      <c r="A5" s="235">
        <v>11</v>
      </c>
      <c r="B5" s="235" t="s">
        <v>180</v>
      </c>
      <c r="C5" s="235" t="s">
        <v>2657</v>
      </c>
      <c r="D5" s="236">
        <v>0</v>
      </c>
      <c r="E5" s="235">
        <v>0</v>
      </c>
      <c r="F5" s="235">
        <v>0</v>
      </c>
      <c r="G5" s="235" t="s">
        <v>633</v>
      </c>
      <c r="H5" s="235">
        <v>0</v>
      </c>
      <c r="I5" s="235">
        <v>0</v>
      </c>
      <c r="J5" s="235" t="s">
        <v>839</v>
      </c>
      <c r="K5" s="235" t="s">
        <v>2128</v>
      </c>
      <c r="L5"/>
    </row>
    <row r="6" spans="1:12" ht="22.5" x14ac:dyDescent="0.2">
      <c r="A6" s="235">
        <v>13</v>
      </c>
      <c r="B6" s="235" t="s">
        <v>182</v>
      </c>
      <c r="C6" s="235" t="s">
        <v>479</v>
      </c>
      <c r="D6" s="236">
        <v>0</v>
      </c>
      <c r="E6" s="235">
        <v>0</v>
      </c>
      <c r="F6" s="236" t="s">
        <v>616</v>
      </c>
      <c r="G6" s="236" t="s">
        <v>636</v>
      </c>
      <c r="H6" s="236" t="s">
        <v>714</v>
      </c>
      <c r="I6" s="236" t="s">
        <v>714</v>
      </c>
      <c r="J6" s="235" t="s">
        <v>839</v>
      </c>
      <c r="K6" s="235">
        <v>0</v>
      </c>
      <c r="L6"/>
    </row>
    <row r="7" spans="1:12" ht="101.25" x14ac:dyDescent="0.2">
      <c r="A7" s="235">
        <v>14</v>
      </c>
      <c r="B7" s="235" t="s">
        <v>189</v>
      </c>
      <c r="C7" s="235" t="s">
        <v>133</v>
      </c>
      <c r="D7" s="236">
        <v>0</v>
      </c>
      <c r="E7" s="235" t="s">
        <v>585</v>
      </c>
      <c r="F7" s="235">
        <v>0</v>
      </c>
      <c r="G7" s="235" t="s">
        <v>639</v>
      </c>
      <c r="H7" s="235" t="s">
        <v>785</v>
      </c>
      <c r="I7" s="235" t="s">
        <v>717</v>
      </c>
      <c r="J7" s="235" t="s">
        <v>842</v>
      </c>
      <c r="K7" s="235">
        <v>12.8</v>
      </c>
      <c r="L7"/>
    </row>
    <row r="8" spans="1:12" ht="33.75" x14ac:dyDescent="0.2">
      <c r="A8" s="235">
        <v>15</v>
      </c>
      <c r="B8" s="235" t="s">
        <v>190</v>
      </c>
      <c r="C8" s="235" t="s">
        <v>528</v>
      </c>
      <c r="D8" s="236">
        <v>0</v>
      </c>
      <c r="E8" s="235" t="s">
        <v>585</v>
      </c>
      <c r="F8" s="235">
        <v>0</v>
      </c>
      <c r="G8" s="235" t="s">
        <v>639</v>
      </c>
      <c r="H8" s="235" t="s">
        <v>785</v>
      </c>
      <c r="I8" s="235" t="s">
        <v>717</v>
      </c>
      <c r="J8" s="235">
        <v>0</v>
      </c>
      <c r="K8" s="235">
        <v>12.8</v>
      </c>
      <c r="L8"/>
    </row>
    <row r="9" spans="1:12" ht="45" x14ac:dyDescent="0.2">
      <c r="A9" s="235">
        <v>16</v>
      </c>
      <c r="B9" s="235" t="s">
        <v>191</v>
      </c>
      <c r="C9" s="235" t="s">
        <v>22</v>
      </c>
      <c r="D9" s="236">
        <v>0</v>
      </c>
      <c r="E9" s="235" t="s">
        <v>585</v>
      </c>
      <c r="F9" s="235">
        <v>0</v>
      </c>
      <c r="G9" s="235" t="s">
        <v>639</v>
      </c>
      <c r="H9" s="235" t="s">
        <v>714</v>
      </c>
      <c r="I9" s="235">
        <v>0</v>
      </c>
      <c r="J9" s="235" t="s">
        <v>843</v>
      </c>
      <c r="K9" s="235">
        <v>12.8</v>
      </c>
      <c r="L9"/>
    </row>
    <row r="10" spans="1:12" ht="67.5" x14ac:dyDescent="0.2">
      <c r="A10" s="235">
        <v>17</v>
      </c>
      <c r="B10" s="235" t="s">
        <v>436</v>
      </c>
      <c r="C10" s="235" t="s">
        <v>448</v>
      </c>
      <c r="D10" s="236">
        <v>0</v>
      </c>
      <c r="E10" s="235">
        <v>0</v>
      </c>
      <c r="F10" s="235">
        <v>0</v>
      </c>
      <c r="G10" s="235" t="s">
        <v>639</v>
      </c>
      <c r="H10" s="235" t="s">
        <v>715</v>
      </c>
      <c r="I10" s="235">
        <v>0</v>
      </c>
      <c r="J10" s="235" t="s">
        <v>844</v>
      </c>
      <c r="K10" s="235">
        <v>12.8</v>
      </c>
      <c r="L10"/>
    </row>
    <row r="11" spans="1:12" ht="33.75" x14ac:dyDescent="0.2">
      <c r="A11" s="235">
        <v>20</v>
      </c>
      <c r="B11" s="235" t="s">
        <v>194</v>
      </c>
      <c r="C11" s="235" t="s">
        <v>550</v>
      </c>
      <c r="D11" s="236">
        <v>0</v>
      </c>
      <c r="E11" s="235" t="s">
        <v>588</v>
      </c>
      <c r="F11" s="235">
        <v>0</v>
      </c>
      <c r="G11" s="235" t="s">
        <v>641</v>
      </c>
      <c r="H11" s="235" t="s">
        <v>715</v>
      </c>
      <c r="I11" s="235" t="s">
        <v>719</v>
      </c>
      <c r="J11" s="235">
        <v>0</v>
      </c>
      <c r="K11" s="235">
        <v>0</v>
      </c>
      <c r="L11"/>
    </row>
    <row r="12" spans="1:12" ht="22.5" x14ac:dyDescent="0.2">
      <c r="A12" s="235">
        <v>23</v>
      </c>
      <c r="B12" s="235" t="s">
        <v>197</v>
      </c>
      <c r="C12" s="235" t="s">
        <v>480</v>
      </c>
      <c r="D12" s="236">
        <v>0</v>
      </c>
      <c r="E12" s="235" t="s">
        <v>585</v>
      </c>
      <c r="F12" s="235">
        <v>0</v>
      </c>
      <c r="G12" s="235" t="s">
        <v>654</v>
      </c>
      <c r="H12" s="235" t="s">
        <v>715</v>
      </c>
      <c r="I12" s="235" t="s">
        <v>717</v>
      </c>
      <c r="J12" s="235" t="s">
        <v>846</v>
      </c>
      <c r="K12" s="235">
        <v>0</v>
      </c>
      <c r="L12"/>
    </row>
    <row r="13" spans="1:12" ht="22.5" x14ac:dyDescent="0.2">
      <c r="A13" s="235">
        <v>25</v>
      </c>
      <c r="B13" s="235" t="s">
        <v>199</v>
      </c>
      <c r="C13" s="235" t="s">
        <v>552</v>
      </c>
      <c r="D13" s="236">
        <v>0</v>
      </c>
      <c r="E13" s="235" t="s">
        <v>588</v>
      </c>
      <c r="F13" s="235">
        <v>0</v>
      </c>
      <c r="G13" s="235" t="s">
        <v>654</v>
      </c>
      <c r="H13" s="235" t="s">
        <v>715</v>
      </c>
      <c r="I13" s="235">
        <v>0</v>
      </c>
      <c r="J13" s="235">
        <v>0</v>
      </c>
      <c r="K13" s="235">
        <v>0</v>
      </c>
      <c r="L13"/>
    </row>
    <row r="14" spans="1:12" ht="22.5" x14ac:dyDescent="0.2">
      <c r="A14" s="235">
        <v>27</v>
      </c>
      <c r="B14" s="235" t="s">
        <v>201</v>
      </c>
      <c r="C14" s="235" t="s">
        <v>914</v>
      </c>
      <c r="D14" s="236">
        <v>0</v>
      </c>
      <c r="E14" s="235" t="s">
        <v>586</v>
      </c>
      <c r="F14" s="235">
        <v>0</v>
      </c>
      <c r="G14" s="235">
        <v>0</v>
      </c>
      <c r="H14" s="235" t="s">
        <v>786</v>
      </c>
      <c r="I14" s="235">
        <v>0</v>
      </c>
      <c r="J14" s="235">
        <v>0</v>
      </c>
      <c r="K14" s="235">
        <v>0</v>
      </c>
      <c r="L14"/>
    </row>
    <row r="15" spans="1:12" ht="33.75" x14ac:dyDescent="0.2">
      <c r="A15" s="235">
        <v>28</v>
      </c>
      <c r="B15" s="235" t="s">
        <v>202</v>
      </c>
      <c r="C15" s="235" t="s">
        <v>915</v>
      </c>
      <c r="D15" s="236">
        <v>0</v>
      </c>
      <c r="E15" s="235" t="s">
        <v>595</v>
      </c>
      <c r="F15" s="235">
        <v>0</v>
      </c>
      <c r="G15" s="235" t="s">
        <v>642</v>
      </c>
      <c r="H15" s="235" t="s">
        <v>786</v>
      </c>
      <c r="I15" s="235">
        <v>0</v>
      </c>
      <c r="J15" s="235">
        <v>0</v>
      </c>
      <c r="K15" s="235">
        <v>0</v>
      </c>
      <c r="L15"/>
    </row>
    <row r="16" spans="1:12" ht="56.25" x14ac:dyDescent="0.2">
      <c r="A16" s="235">
        <v>32</v>
      </c>
      <c r="B16" s="235" t="s">
        <v>205</v>
      </c>
      <c r="C16" s="235" t="s">
        <v>918</v>
      </c>
      <c r="D16" s="236">
        <v>0</v>
      </c>
      <c r="E16" s="235" t="s">
        <v>590</v>
      </c>
      <c r="F16" s="235">
        <v>0</v>
      </c>
      <c r="G16" s="235">
        <v>6.2</v>
      </c>
      <c r="H16" s="235" t="s">
        <v>790</v>
      </c>
      <c r="I16" s="235" t="s">
        <v>723</v>
      </c>
      <c r="J16" s="235" t="s">
        <v>850</v>
      </c>
      <c r="K16" s="235">
        <v>0</v>
      </c>
      <c r="L16"/>
    </row>
    <row r="17" spans="1:12" ht="45" x14ac:dyDescent="0.2">
      <c r="A17" s="235">
        <v>34</v>
      </c>
      <c r="B17" s="235" t="s">
        <v>207</v>
      </c>
      <c r="C17" s="235" t="s">
        <v>529</v>
      </c>
      <c r="D17" s="236">
        <v>0</v>
      </c>
      <c r="E17" s="235">
        <v>0</v>
      </c>
      <c r="F17" s="235">
        <v>0</v>
      </c>
      <c r="G17" s="235">
        <v>16</v>
      </c>
      <c r="H17" s="235">
        <v>0</v>
      </c>
      <c r="I17" s="235">
        <v>0</v>
      </c>
      <c r="J17" s="235">
        <v>0</v>
      </c>
      <c r="K17" s="235" t="s">
        <v>2131</v>
      </c>
      <c r="L17"/>
    </row>
    <row r="18" spans="1:12" ht="67.5" x14ac:dyDescent="0.2">
      <c r="A18" s="235">
        <v>36</v>
      </c>
      <c r="B18" s="235" t="s">
        <v>209</v>
      </c>
      <c r="C18" s="235" t="s">
        <v>450</v>
      </c>
      <c r="D18" s="236">
        <v>0</v>
      </c>
      <c r="E18" s="235" t="s">
        <v>591</v>
      </c>
      <c r="F18" s="235">
        <v>0</v>
      </c>
      <c r="G18" s="235" t="s">
        <v>646</v>
      </c>
      <c r="H18" s="235" t="s">
        <v>792</v>
      </c>
      <c r="I18" s="235">
        <v>0</v>
      </c>
      <c r="J18" s="235" t="s">
        <v>851</v>
      </c>
      <c r="K18" s="235">
        <v>2.4</v>
      </c>
      <c r="L18"/>
    </row>
    <row r="19" spans="1:12" ht="33.75" x14ac:dyDescent="0.2">
      <c r="A19" s="235">
        <v>37</v>
      </c>
      <c r="B19" s="235" t="s">
        <v>210</v>
      </c>
      <c r="C19" s="235" t="s">
        <v>513</v>
      </c>
      <c r="D19" s="236">
        <v>0</v>
      </c>
      <c r="E19" s="235" t="s">
        <v>585</v>
      </c>
      <c r="F19" s="235">
        <v>0</v>
      </c>
      <c r="G19" s="235" t="s">
        <v>647</v>
      </c>
      <c r="H19" s="235">
        <v>0</v>
      </c>
      <c r="I19" s="235">
        <v>0</v>
      </c>
      <c r="J19" s="235">
        <v>0</v>
      </c>
      <c r="K19" s="235">
        <v>0</v>
      </c>
    </row>
    <row r="20" spans="1:12" ht="33.75" x14ac:dyDescent="0.2">
      <c r="A20" s="235">
        <v>40</v>
      </c>
      <c r="B20" s="235" t="s">
        <v>213</v>
      </c>
      <c r="C20" s="235" t="s">
        <v>114</v>
      </c>
      <c r="D20" s="236">
        <v>0</v>
      </c>
      <c r="E20" s="235" t="s">
        <v>591</v>
      </c>
      <c r="F20" s="235">
        <v>0</v>
      </c>
      <c r="G20" s="235">
        <v>0</v>
      </c>
      <c r="H20" s="235">
        <v>0</v>
      </c>
      <c r="I20" s="235">
        <v>0</v>
      </c>
      <c r="J20" s="235">
        <v>0</v>
      </c>
      <c r="K20" s="235">
        <v>0</v>
      </c>
    </row>
    <row r="21" spans="1:12" ht="56.25" x14ac:dyDescent="0.2">
      <c r="A21" s="235">
        <v>41</v>
      </c>
      <c r="B21" s="235" t="s">
        <v>554</v>
      </c>
      <c r="C21" s="235" t="s">
        <v>452</v>
      </c>
      <c r="D21" s="236">
        <v>0</v>
      </c>
      <c r="E21" s="235" t="s">
        <v>588</v>
      </c>
      <c r="F21" s="235">
        <v>0</v>
      </c>
      <c r="G21" s="235" t="s">
        <v>649</v>
      </c>
      <c r="H21" s="235" t="s">
        <v>788</v>
      </c>
      <c r="I21" s="235" t="s">
        <v>724</v>
      </c>
      <c r="J21" s="235" t="s">
        <v>852</v>
      </c>
      <c r="K21" s="235" t="s">
        <v>2132</v>
      </c>
    </row>
    <row r="22" spans="1:12" ht="45" x14ac:dyDescent="0.2">
      <c r="A22" s="235">
        <v>42</v>
      </c>
      <c r="B22" s="235" t="s">
        <v>214</v>
      </c>
      <c r="C22" s="235" t="s">
        <v>514</v>
      </c>
      <c r="D22" s="236">
        <v>0</v>
      </c>
      <c r="E22" s="235" t="s">
        <v>593</v>
      </c>
      <c r="F22" s="235">
        <v>0</v>
      </c>
      <c r="G22" s="235">
        <v>9.1999999999999993</v>
      </c>
      <c r="H22" s="235" t="s">
        <v>788</v>
      </c>
      <c r="I22" s="235" t="s">
        <v>725</v>
      </c>
      <c r="J22" s="235" t="s">
        <v>853</v>
      </c>
      <c r="K22" s="235" t="s">
        <v>2133</v>
      </c>
    </row>
    <row r="23" spans="1:12" ht="22.5" x14ac:dyDescent="0.2">
      <c r="A23" s="235">
        <v>44</v>
      </c>
      <c r="B23" s="235" t="s">
        <v>218</v>
      </c>
      <c r="C23" s="235" t="s">
        <v>35</v>
      </c>
      <c r="D23" s="236">
        <v>0</v>
      </c>
      <c r="E23" s="235" t="s">
        <v>594</v>
      </c>
      <c r="F23" s="235">
        <v>0</v>
      </c>
      <c r="G23" s="235" t="s">
        <v>652</v>
      </c>
      <c r="H23" s="235" t="s">
        <v>794</v>
      </c>
      <c r="I23" s="235" t="s">
        <v>726</v>
      </c>
      <c r="J23" s="235" t="s">
        <v>854</v>
      </c>
      <c r="K23" s="235" t="s">
        <v>2135</v>
      </c>
    </row>
    <row r="24" spans="1:12" ht="33.75" x14ac:dyDescent="0.2">
      <c r="A24" s="235">
        <v>45</v>
      </c>
      <c r="B24" s="235" t="s">
        <v>219</v>
      </c>
      <c r="C24" s="235" t="s">
        <v>530</v>
      </c>
      <c r="D24" s="236">
        <v>0</v>
      </c>
      <c r="E24" s="235" t="s">
        <v>594</v>
      </c>
      <c r="F24" s="235">
        <v>0</v>
      </c>
      <c r="G24" s="235" t="s">
        <v>652</v>
      </c>
      <c r="H24" s="235" t="s">
        <v>794</v>
      </c>
      <c r="I24" s="235" t="s">
        <v>727</v>
      </c>
      <c r="J24" s="235" t="s">
        <v>855</v>
      </c>
      <c r="K24" s="235" t="s">
        <v>2135</v>
      </c>
    </row>
    <row r="25" spans="1:12" ht="33.75" x14ac:dyDescent="0.2">
      <c r="A25" s="235">
        <v>46</v>
      </c>
      <c r="B25" s="235" t="s">
        <v>220</v>
      </c>
      <c r="C25" s="235" t="s">
        <v>2084</v>
      </c>
      <c r="D25" s="236">
        <v>0</v>
      </c>
      <c r="E25" s="235" t="s">
        <v>594</v>
      </c>
      <c r="F25" s="235">
        <v>0</v>
      </c>
      <c r="G25" s="235" t="s">
        <v>652</v>
      </c>
      <c r="H25" s="235" t="s">
        <v>794</v>
      </c>
      <c r="I25" s="235">
        <v>0</v>
      </c>
      <c r="J25" s="235">
        <v>0</v>
      </c>
      <c r="K25" s="235" t="s">
        <v>2135</v>
      </c>
    </row>
    <row r="26" spans="1:12" ht="33.75" x14ac:dyDescent="0.2">
      <c r="A26" s="235">
        <v>48</v>
      </c>
      <c r="B26" s="235" t="s">
        <v>222</v>
      </c>
      <c r="C26" s="235" t="s">
        <v>2682</v>
      </c>
      <c r="D26" s="236">
        <v>0</v>
      </c>
      <c r="E26" s="235" t="s">
        <v>594</v>
      </c>
      <c r="F26" s="235">
        <v>0</v>
      </c>
      <c r="G26" s="235" t="s">
        <v>653</v>
      </c>
      <c r="H26" s="235" t="s">
        <v>794</v>
      </c>
      <c r="I26" s="235" t="s">
        <v>729</v>
      </c>
      <c r="J26" s="235" t="s">
        <v>856</v>
      </c>
      <c r="K26" s="235" t="s">
        <v>2135</v>
      </c>
    </row>
    <row r="27" spans="1:12" ht="33.75" x14ac:dyDescent="0.2">
      <c r="A27" s="235">
        <v>49</v>
      </c>
      <c r="B27" s="235" t="s">
        <v>223</v>
      </c>
      <c r="C27" s="235" t="s">
        <v>2582</v>
      </c>
      <c r="D27" s="236">
        <v>0</v>
      </c>
      <c r="E27" s="235" t="s">
        <v>594</v>
      </c>
      <c r="F27" s="235">
        <v>0</v>
      </c>
      <c r="G27" s="235" t="s">
        <v>654</v>
      </c>
      <c r="H27" s="235">
        <v>0</v>
      </c>
      <c r="I27" s="235">
        <v>0</v>
      </c>
      <c r="J27" s="235">
        <v>0</v>
      </c>
      <c r="K27" s="235" t="s">
        <v>2136</v>
      </c>
    </row>
    <row r="28" spans="1:12" ht="33.75" x14ac:dyDescent="0.2">
      <c r="A28" s="235">
        <v>50</v>
      </c>
      <c r="B28" s="235" t="s">
        <v>224</v>
      </c>
      <c r="C28" s="235" t="s">
        <v>36</v>
      </c>
      <c r="D28" s="236">
        <v>0</v>
      </c>
      <c r="E28" s="235" t="s">
        <v>594</v>
      </c>
      <c r="F28" s="235">
        <v>0</v>
      </c>
      <c r="G28" s="235" t="s">
        <v>654</v>
      </c>
      <c r="H28" s="235" t="s">
        <v>794</v>
      </c>
      <c r="I28" s="235">
        <v>0</v>
      </c>
      <c r="J28" s="235">
        <v>0</v>
      </c>
      <c r="K28" s="235" t="s">
        <v>2135</v>
      </c>
    </row>
    <row r="29" spans="1:12" ht="33.75" x14ac:dyDescent="0.2">
      <c r="A29" s="235">
        <v>51</v>
      </c>
      <c r="B29" s="235" t="s">
        <v>225</v>
      </c>
      <c r="C29" s="235" t="s">
        <v>37</v>
      </c>
      <c r="D29" s="236">
        <v>0</v>
      </c>
      <c r="E29" s="235" t="s">
        <v>594</v>
      </c>
      <c r="F29" s="235">
        <v>0</v>
      </c>
      <c r="G29" s="235" t="s">
        <v>654</v>
      </c>
      <c r="H29" s="235" t="s">
        <v>794</v>
      </c>
      <c r="I29" s="235" t="s">
        <v>730</v>
      </c>
      <c r="J29" s="235" t="s">
        <v>855</v>
      </c>
      <c r="K29" s="235" t="s">
        <v>2135</v>
      </c>
    </row>
    <row r="30" spans="1:12" ht="45" x14ac:dyDescent="0.2">
      <c r="A30" s="235">
        <v>54</v>
      </c>
      <c r="B30" s="235" t="s">
        <v>228</v>
      </c>
      <c r="C30" s="235" t="s">
        <v>531</v>
      </c>
      <c r="D30" s="236">
        <v>0</v>
      </c>
      <c r="E30" s="235" t="s">
        <v>594</v>
      </c>
      <c r="F30" s="235">
        <v>0</v>
      </c>
      <c r="G30" s="235" t="s">
        <v>654</v>
      </c>
      <c r="H30" s="235" t="s">
        <v>795</v>
      </c>
      <c r="I30" s="235">
        <v>0</v>
      </c>
      <c r="J30" s="235">
        <v>0</v>
      </c>
      <c r="K30" s="235" t="s">
        <v>2135</v>
      </c>
    </row>
    <row r="31" spans="1:12" ht="33.75" x14ac:dyDescent="0.2">
      <c r="A31" s="235">
        <v>56</v>
      </c>
      <c r="B31" s="235" t="s">
        <v>230</v>
      </c>
      <c r="C31" s="235" t="s">
        <v>95</v>
      </c>
      <c r="D31" s="236">
        <v>0</v>
      </c>
      <c r="E31" s="235" t="s">
        <v>594</v>
      </c>
      <c r="F31" s="235">
        <v>0</v>
      </c>
      <c r="G31" s="235">
        <v>0</v>
      </c>
      <c r="H31" s="235" t="s">
        <v>795</v>
      </c>
      <c r="I31" s="235">
        <v>0</v>
      </c>
      <c r="J31" s="235">
        <v>0</v>
      </c>
      <c r="K31" s="235">
        <v>0</v>
      </c>
    </row>
    <row r="32" spans="1:12" ht="33.75" x14ac:dyDescent="0.2">
      <c r="A32" s="235">
        <v>57</v>
      </c>
      <c r="B32" s="235" t="s">
        <v>231</v>
      </c>
      <c r="C32" s="235" t="s">
        <v>532</v>
      </c>
      <c r="D32" s="236">
        <v>0</v>
      </c>
      <c r="E32" s="235" t="s">
        <v>594</v>
      </c>
      <c r="F32" s="235">
        <v>0</v>
      </c>
      <c r="G32" s="235">
        <v>0</v>
      </c>
      <c r="H32" s="235" t="s">
        <v>795</v>
      </c>
      <c r="I32" s="235" t="s">
        <v>732</v>
      </c>
      <c r="J32" s="235">
        <v>0</v>
      </c>
      <c r="K32" s="235" t="s">
        <v>2135</v>
      </c>
    </row>
    <row r="33" spans="1:11" ht="45" x14ac:dyDescent="0.2">
      <c r="A33" s="235">
        <v>58</v>
      </c>
      <c r="B33" s="235" t="s">
        <v>232</v>
      </c>
      <c r="C33" s="235" t="s">
        <v>555</v>
      </c>
      <c r="D33" s="236">
        <v>0</v>
      </c>
      <c r="E33" s="235" t="s">
        <v>596</v>
      </c>
      <c r="F33" s="235">
        <v>0</v>
      </c>
      <c r="G33" s="235" t="s">
        <v>651</v>
      </c>
      <c r="H33" s="235" t="s">
        <v>796</v>
      </c>
      <c r="I33" s="235" t="s">
        <v>733</v>
      </c>
      <c r="J33" s="235" t="s">
        <v>858</v>
      </c>
      <c r="K33" s="235" t="s">
        <v>2137</v>
      </c>
    </row>
    <row r="34" spans="1:11" ht="123.75" x14ac:dyDescent="0.2">
      <c r="A34" s="235">
        <v>59</v>
      </c>
      <c r="B34" s="235" t="s">
        <v>233</v>
      </c>
      <c r="C34" s="235" t="s">
        <v>2116</v>
      </c>
      <c r="D34" s="236">
        <v>0</v>
      </c>
      <c r="E34" s="235" t="s">
        <v>596</v>
      </c>
      <c r="F34" s="235">
        <v>0</v>
      </c>
      <c r="G34" s="235" t="s">
        <v>651</v>
      </c>
      <c r="H34" s="235" t="s">
        <v>796</v>
      </c>
      <c r="I34" s="235" t="s">
        <v>734</v>
      </c>
      <c r="J34" s="235" t="s">
        <v>859</v>
      </c>
      <c r="K34" s="235" t="s">
        <v>2138</v>
      </c>
    </row>
    <row r="35" spans="1:11" ht="33.75" x14ac:dyDescent="0.2">
      <c r="A35" s="235">
        <v>61</v>
      </c>
      <c r="B35" s="235" t="s">
        <v>217</v>
      </c>
      <c r="C35" s="235" t="s">
        <v>556</v>
      </c>
      <c r="D35" s="236">
        <v>0</v>
      </c>
      <c r="E35" s="235" t="s">
        <v>587</v>
      </c>
      <c r="F35" s="235">
        <v>0</v>
      </c>
      <c r="G35" s="235" t="s">
        <v>657</v>
      </c>
      <c r="H35" s="235" t="s">
        <v>716</v>
      </c>
      <c r="I35" s="235" t="s">
        <v>736</v>
      </c>
      <c r="J35" s="235" t="s">
        <v>861</v>
      </c>
      <c r="K35" s="235">
        <v>0</v>
      </c>
    </row>
    <row r="36" spans="1:11" ht="33.75" x14ac:dyDescent="0.2">
      <c r="A36" s="235">
        <v>66</v>
      </c>
      <c r="B36" s="235" t="s">
        <v>239</v>
      </c>
      <c r="C36" s="235" t="s">
        <v>557</v>
      </c>
      <c r="D36" s="236">
        <v>0</v>
      </c>
      <c r="E36" s="235" t="s">
        <v>587</v>
      </c>
      <c r="F36" s="235">
        <v>0</v>
      </c>
      <c r="G36" s="235" t="s">
        <v>634</v>
      </c>
      <c r="H36" s="235" t="s">
        <v>716</v>
      </c>
      <c r="I36" s="235" t="s">
        <v>736</v>
      </c>
      <c r="J36" s="235" t="s">
        <v>861</v>
      </c>
      <c r="K36" s="235">
        <v>0</v>
      </c>
    </row>
    <row r="37" spans="1:11" ht="33.75" x14ac:dyDescent="0.2">
      <c r="A37" s="235">
        <v>67</v>
      </c>
      <c r="B37" s="235" t="s">
        <v>240</v>
      </c>
      <c r="C37" s="235" t="s">
        <v>2087</v>
      </c>
      <c r="D37" s="236">
        <v>0</v>
      </c>
      <c r="E37" s="235" t="s">
        <v>587</v>
      </c>
      <c r="F37" s="235">
        <v>0</v>
      </c>
      <c r="G37" s="235" t="s">
        <v>658</v>
      </c>
      <c r="H37" s="235" t="s">
        <v>716</v>
      </c>
      <c r="I37" s="235" t="s">
        <v>736</v>
      </c>
      <c r="J37" s="235" t="s">
        <v>861</v>
      </c>
      <c r="K37" s="235">
        <v>0</v>
      </c>
    </row>
    <row r="38" spans="1:11" ht="33.75" x14ac:dyDescent="0.2">
      <c r="A38" s="235">
        <v>73</v>
      </c>
      <c r="B38" s="235" t="s">
        <v>246</v>
      </c>
      <c r="C38" s="235" t="s">
        <v>102</v>
      </c>
      <c r="D38" s="236">
        <v>0</v>
      </c>
      <c r="E38" s="235" t="s">
        <v>587</v>
      </c>
      <c r="F38" s="235">
        <v>0</v>
      </c>
      <c r="G38" s="235" t="s">
        <v>663</v>
      </c>
      <c r="H38" s="235" t="s">
        <v>797</v>
      </c>
      <c r="I38" s="235" t="s">
        <v>738</v>
      </c>
      <c r="J38" s="235" t="s">
        <v>864</v>
      </c>
      <c r="K38" s="235" t="s">
        <v>2140</v>
      </c>
    </row>
    <row r="39" spans="1:11" ht="56.25" x14ac:dyDescent="0.2">
      <c r="A39" s="235">
        <v>77</v>
      </c>
      <c r="B39" s="235" t="s">
        <v>250</v>
      </c>
      <c r="C39" s="235" t="s">
        <v>458</v>
      </c>
      <c r="D39" s="236">
        <v>0</v>
      </c>
      <c r="E39" s="235" t="s">
        <v>591</v>
      </c>
      <c r="F39" s="235">
        <v>0</v>
      </c>
      <c r="G39" s="235">
        <v>0</v>
      </c>
      <c r="H39" s="235">
        <v>0</v>
      </c>
      <c r="I39" s="235">
        <v>0</v>
      </c>
      <c r="J39" s="235" t="s">
        <v>864</v>
      </c>
      <c r="K39" s="235" t="s">
        <v>2142</v>
      </c>
    </row>
    <row r="40" spans="1:11" ht="101.25" x14ac:dyDescent="0.2">
      <c r="A40" s="235">
        <v>80</v>
      </c>
      <c r="B40" s="235" t="s">
        <v>253</v>
      </c>
      <c r="C40" s="235" t="s">
        <v>2167</v>
      </c>
      <c r="D40" s="236">
        <v>0</v>
      </c>
      <c r="E40" s="235" t="s">
        <v>591</v>
      </c>
      <c r="F40" s="235">
        <v>0</v>
      </c>
      <c r="G40" s="235" t="s">
        <v>646</v>
      </c>
      <c r="H40" s="235" t="s">
        <v>793</v>
      </c>
      <c r="I40" s="235" t="s">
        <v>740</v>
      </c>
      <c r="J40" s="235" t="s">
        <v>864</v>
      </c>
      <c r="K40" s="235">
        <v>12.1</v>
      </c>
    </row>
    <row r="41" spans="1:11" ht="33.75" x14ac:dyDescent="0.2">
      <c r="A41" s="235">
        <v>88</v>
      </c>
      <c r="B41" s="235" t="s">
        <v>261</v>
      </c>
      <c r="C41" s="235" t="s">
        <v>2100</v>
      </c>
      <c r="D41" s="236">
        <v>0</v>
      </c>
      <c r="E41" s="235" t="s">
        <v>590</v>
      </c>
      <c r="F41" s="235">
        <v>0</v>
      </c>
      <c r="G41" s="235">
        <v>0</v>
      </c>
      <c r="H41" s="235" t="s">
        <v>800</v>
      </c>
      <c r="I41" s="235" t="s">
        <v>742</v>
      </c>
      <c r="J41" s="235" t="s">
        <v>865</v>
      </c>
      <c r="K41" s="235">
        <v>12.8</v>
      </c>
    </row>
    <row r="42" spans="1:11" ht="22.5" x14ac:dyDescent="0.2">
      <c r="A42" s="235">
        <v>90</v>
      </c>
      <c r="B42" s="235" t="s">
        <v>263</v>
      </c>
      <c r="C42" s="235" t="s">
        <v>2593</v>
      </c>
      <c r="D42" s="236">
        <v>0</v>
      </c>
      <c r="E42" s="235" t="s">
        <v>585</v>
      </c>
      <c r="F42" s="235">
        <v>0</v>
      </c>
      <c r="G42" s="235" t="s">
        <v>666</v>
      </c>
      <c r="H42" s="235" t="s">
        <v>801</v>
      </c>
      <c r="I42" s="235">
        <v>0</v>
      </c>
      <c r="J42" s="235">
        <v>0</v>
      </c>
      <c r="K42" s="235" t="s">
        <v>2148</v>
      </c>
    </row>
    <row r="43" spans="1:11" ht="22.5" x14ac:dyDescent="0.2">
      <c r="A43" s="235">
        <v>91</v>
      </c>
      <c r="B43" s="235" t="s">
        <v>264</v>
      </c>
      <c r="C43" s="235" t="s">
        <v>483</v>
      </c>
      <c r="D43" s="236">
        <v>0</v>
      </c>
      <c r="E43" s="235" t="s">
        <v>585</v>
      </c>
      <c r="F43" s="235">
        <v>0</v>
      </c>
      <c r="G43" s="235" t="s">
        <v>667</v>
      </c>
      <c r="H43" s="235" t="s">
        <v>802</v>
      </c>
      <c r="I43" s="235" t="s">
        <v>744</v>
      </c>
      <c r="J43" s="235" t="s">
        <v>867</v>
      </c>
      <c r="K43" s="235">
        <v>12.8</v>
      </c>
    </row>
    <row r="44" spans="1:11" ht="45" x14ac:dyDescent="0.2">
      <c r="A44" s="235">
        <v>92</v>
      </c>
      <c r="B44" s="235" t="s">
        <v>265</v>
      </c>
      <c r="C44" s="235" t="s">
        <v>460</v>
      </c>
      <c r="D44" s="236">
        <v>0</v>
      </c>
      <c r="E44" s="235" t="s">
        <v>585</v>
      </c>
      <c r="F44" s="235">
        <v>0</v>
      </c>
      <c r="G44" s="235" t="s">
        <v>667</v>
      </c>
      <c r="H44" s="235">
        <v>0</v>
      </c>
      <c r="I44" s="235" t="s">
        <v>753</v>
      </c>
      <c r="J44" s="235">
        <v>0</v>
      </c>
      <c r="K44" s="235">
        <v>12.1</v>
      </c>
    </row>
    <row r="45" spans="1:11" ht="67.5" x14ac:dyDescent="0.2">
      <c r="A45" s="235">
        <v>93</v>
      </c>
      <c r="B45" s="235" t="s">
        <v>266</v>
      </c>
      <c r="C45" s="235" t="s">
        <v>2594</v>
      </c>
      <c r="D45" s="236">
        <v>0</v>
      </c>
      <c r="E45" s="235" t="s">
        <v>585</v>
      </c>
      <c r="F45" s="235">
        <v>0</v>
      </c>
      <c r="G45" s="235" t="s">
        <v>673</v>
      </c>
      <c r="H45" s="235" t="s">
        <v>801</v>
      </c>
      <c r="I45" s="235">
        <v>0</v>
      </c>
      <c r="J45" s="235" t="s">
        <v>868</v>
      </c>
      <c r="K45" s="235" t="s">
        <v>2148</v>
      </c>
    </row>
    <row r="46" spans="1:11" ht="22.5" x14ac:dyDescent="0.2">
      <c r="A46" s="235">
        <v>95</v>
      </c>
      <c r="B46" s="235" t="s">
        <v>268</v>
      </c>
      <c r="C46" s="235" t="s">
        <v>534</v>
      </c>
      <c r="D46" s="236">
        <v>0</v>
      </c>
      <c r="E46" s="235" t="s">
        <v>585</v>
      </c>
      <c r="F46" s="235">
        <v>0</v>
      </c>
      <c r="G46" s="235" t="s">
        <v>668</v>
      </c>
      <c r="H46" s="235">
        <v>0</v>
      </c>
      <c r="I46" s="235" t="s">
        <v>745</v>
      </c>
      <c r="J46" s="235" t="s">
        <v>846</v>
      </c>
      <c r="K46" s="235">
        <v>12.8</v>
      </c>
    </row>
    <row r="47" spans="1:11" ht="33.75" x14ac:dyDescent="0.2">
      <c r="A47" s="235">
        <v>98</v>
      </c>
      <c r="B47" s="235" t="s">
        <v>271</v>
      </c>
      <c r="C47" s="235" t="s">
        <v>2596</v>
      </c>
      <c r="D47" s="236">
        <v>0</v>
      </c>
      <c r="E47" s="235" t="s">
        <v>585</v>
      </c>
      <c r="F47" s="235">
        <v>0</v>
      </c>
      <c r="G47" s="235" t="s">
        <v>670</v>
      </c>
      <c r="H47" s="235">
        <v>0</v>
      </c>
      <c r="I47" s="235" t="s">
        <v>745</v>
      </c>
      <c r="J47" s="235">
        <v>0</v>
      </c>
      <c r="K47" s="235">
        <v>12.8</v>
      </c>
    </row>
    <row r="48" spans="1:11" x14ac:dyDescent="0.2">
      <c r="A48" s="235">
        <v>104</v>
      </c>
      <c r="B48" s="235" t="s">
        <v>277</v>
      </c>
      <c r="C48" s="235" t="s">
        <v>559</v>
      </c>
      <c r="D48" s="236">
        <v>0</v>
      </c>
      <c r="E48" s="235" t="s">
        <v>587</v>
      </c>
      <c r="F48" s="235">
        <v>0</v>
      </c>
      <c r="G48" s="235" t="s">
        <v>669</v>
      </c>
      <c r="H48" s="235" t="s">
        <v>804</v>
      </c>
      <c r="I48" s="235" t="s">
        <v>746</v>
      </c>
      <c r="J48" s="235" t="s">
        <v>869</v>
      </c>
      <c r="K48" s="235">
        <v>0</v>
      </c>
    </row>
    <row r="49" spans="1:11" ht="56.25" x14ac:dyDescent="0.2">
      <c r="A49" s="235">
        <v>109</v>
      </c>
      <c r="B49" s="235" t="s">
        <v>283</v>
      </c>
      <c r="C49" s="235" t="s">
        <v>2675</v>
      </c>
      <c r="D49" s="236">
        <v>0</v>
      </c>
      <c r="E49" s="235" t="s">
        <v>585</v>
      </c>
      <c r="F49" s="235">
        <v>0</v>
      </c>
      <c r="G49" s="235" t="s">
        <v>672</v>
      </c>
      <c r="H49" s="235" t="s">
        <v>806</v>
      </c>
      <c r="I49" s="235" t="s">
        <v>750</v>
      </c>
      <c r="J49" s="235" t="s">
        <v>870</v>
      </c>
      <c r="K49" s="235" t="s">
        <v>2149</v>
      </c>
    </row>
    <row r="50" spans="1:11" ht="22.5" x14ac:dyDescent="0.2">
      <c r="A50" s="235">
        <v>114</v>
      </c>
      <c r="B50" s="235" t="s">
        <v>288</v>
      </c>
      <c r="C50" s="235" t="s">
        <v>536</v>
      </c>
      <c r="D50" s="236">
        <v>0</v>
      </c>
      <c r="E50" s="235" t="s">
        <v>599</v>
      </c>
      <c r="F50" s="235">
        <v>0</v>
      </c>
      <c r="G50" s="235" t="s">
        <v>648</v>
      </c>
      <c r="H50" s="235" t="s">
        <v>787</v>
      </c>
      <c r="I50" s="235">
        <v>0</v>
      </c>
      <c r="J50" s="235">
        <v>0</v>
      </c>
      <c r="K50" s="235">
        <v>0</v>
      </c>
    </row>
    <row r="51" spans="1:11" ht="22.5" x14ac:dyDescent="0.2">
      <c r="A51" s="235">
        <v>115</v>
      </c>
      <c r="B51" s="235" t="s">
        <v>289</v>
      </c>
      <c r="C51" s="235" t="s">
        <v>26</v>
      </c>
      <c r="D51" s="236">
        <v>0</v>
      </c>
      <c r="E51" s="235" t="s">
        <v>585</v>
      </c>
      <c r="F51" s="235">
        <v>0</v>
      </c>
      <c r="G51" s="235" t="s">
        <v>666</v>
      </c>
      <c r="H51" s="235" t="s">
        <v>802</v>
      </c>
      <c r="I51" s="235">
        <v>0</v>
      </c>
      <c r="J51" s="235">
        <v>0</v>
      </c>
      <c r="K51" s="235">
        <v>0</v>
      </c>
    </row>
    <row r="52" spans="1:11" ht="22.5" x14ac:dyDescent="0.2">
      <c r="A52" s="235">
        <v>116</v>
      </c>
      <c r="B52" s="235" t="s">
        <v>290</v>
      </c>
      <c r="C52" s="235" t="s">
        <v>574</v>
      </c>
      <c r="D52" s="236">
        <v>0</v>
      </c>
      <c r="E52" s="235" t="s">
        <v>585</v>
      </c>
      <c r="F52" s="235">
        <v>0</v>
      </c>
      <c r="G52" s="235" t="s">
        <v>666</v>
      </c>
      <c r="H52" s="235" t="s">
        <v>808</v>
      </c>
      <c r="I52" s="235">
        <v>0</v>
      </c>
      <c r="J52" s="235">
        <v>0</v>
      </c>
      <c r="K52" s="235">
        <v>0</v>
      </c>
    </row>
    <row r="53" spans="1:11" ht="22.5" x14ac:dyDescent="0.2">
      <c r="A53" s="235">
        <v>120</v>
      </c>
      <c r="B53" s="235" t="s">
        <v>294</v>
      </c>
      <c r="C53" s="235" t="s">
        <v>27</v>
      </c>
      <c r="D53" s="236">
        <v>0</v>
      </c>
      <c r="E53" s="235" t="s">
        <v>602</v>
      </c>
      <c r="F53" s="235">
        <v>0</v>
      </c>
      <c r="G53" s="235">
        <v>0</v>
      </c>
      <c r="H53" s="235">
        <v>0</v>
      </c>
      <c r="I53" s="235">
        <v>0</v>
      </c>
      <c r="J53" s="235" t="s">
        <v>845</v>
      </c>
      <c r="K53" s="235">
        <v>12.8</v>
      </c>
    </row>
    <row r="54" spans="1:11" ht="22.5" x14ac:dyDescent="0.2">
      <c r="A54" s="235">
        <v>125</v>
      </c>
      <c r="B54" s="235" t="s">
        <v>299</v>
      </c>
      <c r="C54" s="235" t="s">
        <v>2630</v>
      </c>
      <c r="D54" s="236">
        <v>0</v>
      </c>
      <c r="E54" s="235" t="s">
        <v>590</v>
      </c>
      <c r="F54" s="235">
        <v>0</v>
      </c>
      <c r="G54" s="235" t="s">
        <v>633</v>
      </c>
      <c r="H54" s="235">
        <v>0</v>
      </c>
      <c r="I54" s="235">
        <v>0</v>
      </c>
      <c r="J54" s="235">
        <v>0</v>
      </c>
      <c r="K54" s="235">
        <v>12.9</v>
      </c>
    </row>
    <row r="55" spans="1:11" ht="22.5" x14ac:dyDescent="0.2">
      <c r="A55" s="235">
        <v>136</v>
      </c>
      <c r="B55" s="235" t="s">
        <v>310</v>
      </c>
      <c r="C55" s="235" t="s">
        <v>566</v>
      </c>
      <c r="D55" s="236">
        <v>0</v>
      </c>
      <c r="E55" s="235" t="s">
        <v>587</v>
      </c>
      <c r="F55" s="235">
        <v>0</v>
      </c>
      <c r="G55" s="235" t="s">
        <v>657</v>
      </c>
      <c r="H55" s="235" t="s">
        <v>716</v>
      </c>
      <c r="I55" s="235" t="s">
        <v>736</v>
      </c>
      <c r="J55" s="235" t="s">
        <v>862</v>
      </c>
      <c r="K55" s="235">
        <v>12.8</v>
      </c>
    </row>
    <row r="56" spans="1:11" ht="33.75" x14ac:dyDescent="0.2">
      <c r="A56" s="235">
        <v>142</v>
      </c>
      <c r="B56" s="235" t="s">
        <v>316</v>
      </c>
      <c r="C56" s="235" t="s">
        <v>122</v>
      </c>
      <c r="D56" s="236">
        <v>0</v>
      </c>
      <c r="E56" s="235" t="s">
        <v>587</v>
      </c>
      <c r="F56" s="235">
        <v>0</v>
      </c>
      <c r="G56" s="235">
        <v>0</v>
      </c>
      <c r="H56" s="235" t="s">
        <v>716</v>
      </c>
      <c r="I56" s="235" t="s">
        <v>736</v>
      </c>
      <c r="J56" s="235" t="s">
        <v>862</v>
      </c>
      <c r="K56" s="235">
        <v>12.8</v>
      </c>
    </row>
    <row r="57" spans="1:11" ht="22.5" x14ac:dyDescent="0.2">
      <c r="A57" s="235">
        <v>149</v>
      </c>
      <c r="B57" s="235" t="s">
        <v>323</v>
      </c>
      <c r="C57" s="235" t="s">
        <v>33</v>
      </c>
      <c r="D57" s="236">
        <v>0</v>
      </c>
      <c r="E57" s="235" t="s">
        <v>601</v>
      </c>
      <c r="F57" s="235">
        <v>0</v>
      </c>
      <c r="G57" s="235" t="s">
        <v>682</v>
      </c>
      <c r="H57" s="235" t="s">
        <v>812</v>
      </c>
      <c r="I57" s="235">
        <v>0</v>
      </c>
      <c r="J57" s="235">
        <v>0</v>
      </c>
      <c r="K57" s="235">
        <v>1.1000000000000001</v>
      </c>
    </row>
    <row r="58" spans="1:11" ht="22.5" x14ac:dyDescent="0.2">
      <c r="A58" s="235">
        <v>150</v>
      </c>
      <c r="B58" s="235" t="s">
        <v>324</v>
      </c>
      <c r="C58" s="235" t="s">
        <v>34</v>
      </c>
      <c r="D58" s="236">
        <v>0</v>
      </c>
      <c r="E58" s="235" t="s">
        <v>601</v>
      </c>
      <c r="F58" s="235">
        <v>0</v>
      </c>
      <c r="G58" s="235" t="s">
        <v>682</v>
      </c>
      <c r="H58" s="235" t="s">
        <v>812</v>
      </c>
      <c r="I58" s="235">
        <v>0</v>
      </c>
      <c r="J58" s="235">
        <v>0</v>
      </c>
      <c r="K58" s="235">
        <v>1.1000000000000001</v>
      </c>
    </row>
    <row r="59" spans="1:11" ht="22.5" x14ac:dyDescent="0.2">
      <c r="A59" s="235">
        <v>152</v>
      </c>
      <c r="B59" s="235" t="s">
        <v>326</v>
      </c>
      <c r="C59" s="235" t="s">
        <v>519</v>
      </c>
      <c r="D59" s="236">
        <v>0</v>
      </c>
      <c r="E59" s="235" t="s">
        <v>601</v>
      </c>
      <c r="F59" s="235">
        <v>0</v>
      </c>
      <c r="G59" s="235" t="s">
        <v>663</v>
      </c>
      <c r="H59" s="235" t="s">
        <v>810</v>
      </c>
      <c r="I59" s="235">
        <v>0</v>
      </c>
      <c r="J59" s="235">
        <v>0</v>
      </c>
      <c r="K59" s="235">
        <v>1.1000000000000001</v>
      </c>
    </row>
    <row r="60" spans="1:11" ht="22.5" x14ac:dyDescent="0.2">
      <c r="A60" s="235">
        <v>153</v>
      </c>
      <c r="B60" s="235" t="s">
        <v>327</v>
      </c>
      <c r="C60" s="235" t="s">
        <v>109</v>
      </c>
      <c r="D60" s="236">
        <v>0</v>
      </c>
      <c r="E60" s="235" t="s">
        <v>604</v>
      </c>
      <c r="F60" s="235">
        <v>0</v>
      </c>
      <c r="G60" s="235" t="s">
        <v>676</v>
      </c>
      <c r="H60" s="235" t="s">
        <v>813</v>
      </c>
      <c r="I60" s="235" t="s">
        <v>756</v>
      </c>
      <c r="J60" s="235" t="s">
        <v>877</v>
      </c>
      <c r="K60" s="235">
        <v>11.4</v>
      </c>
    </row>
    <row r="61" spans="1:11" ht="22.5" x14ac:dyDescent="0.2">
      <c r="A61" s="235">
        <v>155</v>
      </c>
      <c r="B61" s="235" t="s">
        <v>329</v>
      </c>
      <c r="C61" s="235" t="s">
        <v>130</v>
      </c>
      <c r="D61" s="236">
        <v>0</v>
      </c>
      <c r="E61" s="235" t="s">
        <v>604</v>
      </c>
      <c r="F61" s="235">
        <v>0</v>
      </c>
      <c r="G61" s="235" t="s">
        <v>676</v>
      </c>
      <c r="H61" s="235" t="s">
        <v>813</v>
      </c>
      <c r="I61" s="235" t="s">
        <v>756</v>
      </c>
      <c r="J61" s="235" t="s">
        <v>877</v>
      </c>
      <c r="K61" s="235">
        <v>11.4</v>
      </c>
    </row>
    <row r="62" spans="1:11" ht="33.75" x14ac:dyDescent="0.2">
      <c r="A62" s="235">
        <v>160</v>
      </c>
      <c r="B62" s="235" t="s">
        <v>334</v>
      </c>
      <c r="C62" s="235" t="s">
        <v>2608</v>
      </c>
      <c r="D62" s="236">
        <v>0</v>
      </c>
      <c r="E62" s="235" t="s">
        <v>596</v>
      </c>
      <c r="F62" s="235">
        <v>0</v>
      </c>
      <c r="G62" s="235" t="s">
        <v>683</v>
      </c>
      <c r="H62" s="235" t="s">
        <v>815</v>
      </c>
      <c r="I62" s="235" t="s">
        <v>757</v>
      </c>
      <c r="J62" s="235" t="s">
        <v>880</v>
      </c>
      <c r="K62" s="235" t="s">
        <v>2151</v>
      </c>
    </row>
    <row r="63" spans="1:11" ht="33.75" x14ac:dyDescent="0.2">
      <c r="A63" s="235">
        <v>163</v>
      </c>
      <c r="B63" s="235" t="s">
        <v>337</v>
      </c>
      <c r="C63" s="235" t="s">
        <v>53</v>
      </c>
      <c r="D63" s="236">
        <v>0</v>
      </c>
      <c r="E63" s="235" t="s">
        <v>586</v>
      </c>
      <c r="F63" s="235">
        <v>0</v>
      </c>
      <c r="G63" s="235">
        <v>0</v>
      </c>
      <c r="H63" s="235" t="s">
        <v>816</v>
      </c>
      <c r="I63" s="235">
        <v>0</v>
      </c>
      <c r="J63" s="235">
        <v>0</v>
      </c>
      <c r="K63" s="235">
        <v>0</v>
      </c>
    </row>
    <row r="64" spans="1:11" ht="22.5" x14ac:dyDescent="0.2">
      <c r="A64" s="235">
        <v>165</v>
      </c>
      <c r="B64" s="235" t="s">
        <v>339</v>
      </c>
      <c r="C64" s="235" t="s">
        <v>2613</v>
      </c>
      <c r="D64" s="236">
        <v>0</v>
      </c>
      <c r="E64" s="235" t="s">
        <v>585</v>
      </c>
      <c r="F64" s="235">
        <v>0</v>
      </c>
      <c r="G64" s="235" t="s">
        <v>685</v>
      </c>
      <c r="H64" s="235" t="s">
        <v>817</v>
      </c>
      <c r="I64" s="235" t="s">
        <v>758</v>
      </c>
      <c r="J64" s="235" t="s">
        <v>881</v>
      </c>
      <c r="K64" s="235">
        <v>4.0999999999999996</v>
      </c>
    </row>
    <row r="65" spans="1:11" ht="33.75" x14ac:dyDescent="0.2">
      <c r="A65" s="235">
        <v>166</v>
      </c>
      <c r="B65" s="235" t="s">
        <v>340</v>
      </c>
      <c r="C65" s="235" t="s">
        <v>2614</v>
      </c>
      <c r="D65" s="236">
        <v>0</v>
      </c>
      <c r="E65" s="235" t="s">
        <v>588</v>
      </c>
      <c r="F65" s="235">
        <v>0</v>
      </c>
      <c r="G65" s="235" t="s">
        <v>685</v>
      </c>
      <c r="H65" s="235" t="s">
        <v>818</v>
      </c>
      <c r="I65" s="235">
        <v>0</v>
      </c>
      <c r="J65" s="235">
        <v>0</v>
      </c>
      <c r="K65" s="235">
        <v>0</v>
      </c>
    </row>
    <row r="66" spans="1:11" ht="33.75" x14ac:dyDescent="0.2">
      <c r="A66" s="235">
        <v>167</v>
      </c>
      <c r="B66" s="235" t="s">
        <v>341</v>
      </c>
      <c r="C66" s="235" t="s">
        <v>55</v>
      </c>
      <c r="D66" s="236">
        <v>0</v>
      </c>
      <c r="E66" s="235" t="s">
        <v>594</v>
      </c>
      <c r="F66" s="235">
        <v>0</v>
      </c>
      <c r="G66" s="235" t="s">
        <v>686</v>
      </c>
      <c r="H66" s="235">
        <v>0</v>
      </c>
      <c r="I66" s="235">
        <v>0</v>
      </c>
      <c r="J66" s="235">
        <v>0</v>
      </c>
      <c r="K66" s="235">
        <v>0</v>
      </c>
    </row>
    <row r="67" spans="1:11" ht="33.75" x14ac:dyDescent="0.2">
      <c r="A67" s="235">
        <v>169</v>
      </c>
      <c r="B67" s="235" t="s">
        <v>343</v>
      </c>
      <c r="C67" s="235" t="s">
        <v>2615</v>
      </c>
      <c r="D67" s="236">
        <v>0</v>
      </c>
      <c r="E67" s="235" t="s">
        <v>586</v>
      </c>
      <c r="F67" s="235">
        <v>0</v>
      </c>
      <c r="G67" s="235" t="s">
        <v>638</v>
      </c>
      <c r="H67" s="235" t="s">
        <v>816</v>
      </c>
      <c r="I67" s="235">
        <v>0</v>
      </c>
      <c r="J67" s="235">
        <v>0</v>
      </c>
      <c r="K67" s="235">
        <v>0</v>
      </c>
    </row>
    <row r="68" spans="1:11" ht="22.5" x14ac:dyDescent="0.2">
      <c r="A68" s="235">
        <v>170</v>
      </c>
      <c r="B68" s="235" t="s">
        <v>344</v>
      </c>
      <c r="C68" s="235" t="s">
        <v>56</v>
      </c>
      <c r="D68" s="236">
        <v>0</v>
      </c>
      <c r="E68" s="235" t="s">
        <v>586</v>
      </c>
      <c r="F68" s="235">
        <v>0</v>
      </c>
      <c r="G68" s="235" t="s">
        <v>687</v>
      </c>
      <c r="H68" s="235" t="s">
        <v>819</v>
      </c>
      <c r="I68" s="235">
        <v>0</v>
      </c>
      <c r="J68" s="235">
        <v>0</v>
      </c>
      <c r="K68" s="235">
        <v>0</v>
      </c>
    </row>
    <row r="69" spans="1:11" ht="33.75" x14ac:dyDescent="0.2">
      <c r="A69" s="235">
        <v>171</v>
      </c>
      <c r="B69" s="235" t="s">
        <v>570</v>
      </c>
      <c r="C69" s="235" t="s">
        <v>2650</v>
      </c>
      <c r="D69" s="236">
        <v>0</v>
      </c>
      <c r="E69" s="235" t="s">
        <v>586</v>
      </c>
      <c r="F69" s="235">
        <v>0</v>
      </c>
      <c r="G69" s="235" t="s">
        <v>687</v>
      </c>
      <c r="H69" s="235" t="s">
        <v>819</v>
      </c>
      <c r="I69" s="235">
        <v>0</v>
      </c>
      <c r="J69" s="235">
        <v>0</v>
      </c>
      <c r="K69" s="235">
        <v>0</v>
      </c>
    </row>
    <row r="70" spans="1:11" ht="33.75" x14ac:dyDescent="0.2">
      <c r="A70" s="235">
        <v>173</v>
      </c>
      <c r="B70" s="235" t="s">
        <v>346</v>
      </c>
      <c r="C70" s="235" t="s">
        <v>571</v>
      </c>
      <c r="D70" s="236">
        <v>0</v>
      </c>
      <c r="E70" s="235" t="s">
        <v>585</v>
      </c>
      <c r="F70" s="235">
        <v>0</v>
      </c>
      <c r="G70" s="235" t="s">
        <v>685</v>
      </c>
      <c r="H70" s="235" t="s">
        <v>821</v>
      </c>
      <c r="I70" s="235" t="s">
        <v>761</v>
      </c>
      <c r="J70" s="235" t="s">
        <v>883</v>
      </c>
      <c r="K70" s="235" t="s">
        <v>2152</v>
      </c>
    </row>
    <row r="71" spans="1:11" ht="22.5" x14ac:dyDescent="0.2">
      <c r="A71" s="235">
        <v>178</v>
      </c>
      <c r="B71" s="235" t="s">
        <v>351</v>
      </c>
      <c r="C71" s="235" t="s">
        <v>39</v>
      </c>
      <c r="D71" s="236">
        <v>0</v>
      </c>
      <c r="E71" s="235" t="s">
        <v>607</v>
      </c>
      <c r="F71" s="235">
        <v>0</v>
      </c>
      <c r="G71" s="235" t="s">
        <v>664</v>
      </c>
      <c r="H71" s="235" t="s">
        <v>824</v>
      </c>
      <c r="I71" s="235">
        <v>0</v>
      </c>
      <c r="J71" s="235" t="s">
        <v>886</v>
      </c>
      <c r="K71" s="235" t="s">
        <v>2154</v>
      </c>
    </row>
    <row r="72" spans="1:11" ht="22.5" x14ac:dyDescent="0.2">
      <c r="A72" s="235">
        <v>180</v>
      </c>
      <c r="B72" s="235" t="s">
        <v>353</v>
      </c>
      <c r="C72" s="235" t="s">
        <v>41</v>
      </c>
      <c r="D72" s="236">
        <v>0</v>
      </c>
      <c r="E72" s="235" t="s">
        <v>609</v>
      </c>
      <c r="F72" s="235">
        <v>0</v>
      </c>
      <c r="G72" s="235" t="s">
        <v>638</v>
      </c>
      <c r="H72" s="235">
        <v>0</v>
      </c>
      <c r="I72" s="235">
        <v>0</v>
      </c>
      <c r="J72" s="235" t="s">
        <v>886</v>
      </c>
      <c r="K72" s="235" t="s">
        <v>2155</v>
      </c>
    </row>
    <row r="73" spans="1:11" ht="45" x14ac:dyDescent="0.2">
      <c r="A73" s="235">
        <v>182</v>
      </c>
      <c r="B73" s="235" t="s">
        <v>355</v>
      </c>
      <c r="C73" s="235" t="s">
        <v>2623</v>
      </c>
      <c r="D73" s="236">
        <v>0</v>
      </c>
      <c r="E73" s="235" t="s">
        <v>607</v>
      </c>
      <c r="F73" s="235">
        <v>0</v>
      </c>
      <c r="G73" s="235" t="s">
        <v>700</v>
      </c>
      <c r="H73" s="235" t="s">
        <v>825</v>
      </c>
      <c r="I73" s="235">
        <v>0</v>
      </c>
      <c r="J73" s="235" t="s">
        <v>886</v>
      </c>
      <c r="K73" s="235" t="s">
        <v>2156</v>
      </c>
    </row>
    <row r="74" spans="1:11" ht="33.75" x14ac:dyDescent="0.2">
      <c r="A74" s="235">
        <v>186</v>
      </c>
      <c r="B74" s="235" t="s">
        <v>359</v>
      </c>
      <c r="C74" s="235" t="s">
        <v>45</v>
      </c>
      <c r="D74" s="236">
        <v>0</v>
      </c>
      <c r="E74" s="235" t="s">
        <v>604</v>
      </c>
      <c r="F74" s="235">
        <v>0</v>
      </c>
      <c r="G74" s="235" t="s">
        <v>693</v>
      </c>
      <c r="H74" s="235" t="s">
        <v>716</v>
      </c>
      <c r="I74" s="235" t="s">
        <v>765</v>
      </c>
      <c r="J74" s="235" t="s">
        <v>888</v>
      </c>
      <c r="K74" s="235" t="s">
        <v>2159</v>
      </c>
    </row>
    <row r="75" spans="1:11" ht="33.75" x14ac:dyDescent="0.2">
      <c r="A75" s="235">
        <v>187</v>
      </c>
      <c r="B75" s="235" t="s">
        <v>360</v>
      </c>
      <c r="C75" s="235" t="s">
        <v>2625</v>
      </c>
      <c r="D75" s="236">
        <v>0</v>
      </c>
      <c r="E75" s="235" t="s">
        <v>604</v>
      </c>
      <c r="F75" s="235">
        <v>0</v>
      </c>
      <c r="G75" s="235" t="s">
        <v>633</v>
      </c>
      <c r="H75" s="235" t="s">
        <v>714</v>
      </c>
      <c r="I75" s="235" t="s">
        <v>766</v>
      </c>
      <c r="J75" s="235" t="s">
        <v>889</v>
      </c>
      <c r="K75" s="235">
        <v>12.8</v>
      </c>
    </row>
    <row r="76" spans="1:11" ht="22.5" x14ac:dyDescent="0.2">
      <c r="A76" s="235">
        <v>192</v>
      </c>
      <c r="B76" s="235" t="s">
        <v>365</v>
      </c>
      <c r="C76" s="235" t="s">
        <v>2626</v>
      </c>
      <c r="D76" s="236">
        <v>0</v>
      </c>
      <c r="E76" s="235" t="s">
        <v>608</v>
      </c>
      <c r="F76" s="235" t="s">
        <v>616</v>
      </c>
      <c r="G76" s="235" t="s">
        <v>691</v>
      </c>
      <c r="H76" s="235" t="s">
        <v>714</v>
      </c>
      <c r="I76" s="235">
        <v>0</v>
      </c>
      <c r="J76" s="235" t="s">
        <v>886</v>
      </c>
      <c r="K76" s="235" t="s">
        <v>2162</v>
      </c>
    </row>
    <row r="77" spans="1:11" ht="22.5" x14ac:dyDescent="0.2">
      <c r="A77" s="235">
        <v>193</v>
      </c>
      <c r="B77" s="235" t="s">
        <v>366</v>
      </c>
      <c r="C77" s="235" t="s">
        <v>47</v>
      </c>
      <c r="D77" s="236">
        <v>0</v>
      </c>
      <c r="E77" s="235" t="s">
        <v>608</v>
      </c>
      <c r="F77" s="235" t="s">
        <v>618</v>
      </c>
      <c r="G77" s="235" t="s">
        <v>696</v>
      </c>
      <c r="H77" s="235" t="s">
        <v>829</v>
      </c>
      <c r="I77" s="235" t="s">
        <v>768</v>
      </c>
      <c r="J77" s="235" t="s">
        <v>892</v>
      </c>
      <c r="K77" s="235">
        <v>12.6</v>
      </c>
    </row>
    <row r="78" spans="1:11" ht="33.75" x14ac:dyDescent="0.2">
      <c r="A78" s="235">
        <v>204</v>
      </c>
      <c r="B78" s="235" t="s">
        <v>377</v>
      </c>
      <c r="C78" s="235" t="s">
        <v>166</v>
      </c>
      <c r="D78" s="236">
        <v>0</v>
      </c>
      <c r="E78" s="235" t="s">
        <v>590</v>
      </c>
      <c r="F78" s="235">
        <v>0</v>
      </c>
      <c r="G78" s="235" t="s">
        <v>682</v>
      </c>
      <c r="H78" s="235" t="s">
        <v>830</v>
      </c>
      <c r="I78" s="235" t="s">
        <v>754</v>
      </c>
      <c r="J78" s="235" t="s">
        <v>845</v>
      </c>
      <c r="K78" s="235">
        <v>0</v>
      </c>
    </row>
    <row r="79" spans="1:11" ht="22.5" x14ac:dyDescent="0.2">
      <c r="A79" s="235">
        <v>208</v>
      </c>
      <c r="B79" s="235" t="s">
        <v>381</v>
      </c>
      <c r="C79" s="235" t="s">
        <v>2117</v>
      </c>
      <c r="D79" s="236">
        <v>0</v>
      </c>
      <c r="E79" s="235" t="s">
        <v>607</v>
      </c>
      <c r="F79" s="235">
        <v>0</v>
      </c>
      <c r="G79" s="235" t="s">
        <v>664</v>
      </c>
      <c r="H79" s="235" t="s">
        <v>833</v>
      </c>
      <c r="I79" s="235" t="s">
        <v>774</v>
      </c>
      <c r="J79" s="235" t="s">
        <v>897</v>
      </c>
      <c r="K79" s="235">
        <v>11.2</v>
      </c>
    </row>
    <row r="80" spans="1:11" ht="22.5" x14ac:dyDescent="0.2">
      <c r="A80" s="235">
        <v>211</v>
      </c>
      <c r="B80" s="235" t="s">
        <v>384</v>
      </c>
      <c r="C80" s="235" t="s">
        <v>2118</v>
      </c>
      <c r="D80" s="236">
        <v>0</v>
      </c>
      <c r="E80" s="235" t="s">
        <v>607</v>
      </c>
      <c r="F80" s="235">
        <v>0</v>
      </c>
      <c r="G80" s="235">
        <v>0</v>
      </c>
      <c r="H80" s="235" t="s">
        <v>833</v>
      </c>
      <c r="I80" s="235" t="s">
        <v>774</v>
      </c>
      <c r="J80" s="235" t="s">
        <v>897</v>
      </c>
      <c r="K80" s="235">
        <v>11.2</v>
      </c>
    </row>
    <row r="81" spans="1:11" ht="33.75" x14ac:dyDescent="0.2">
      <c r="A81" s="235">
        <v>212</v>
      </c>
      <c r="B81" s="235" t="s">
        <v>385</v>
      </c>
      <c r="C81" s="235" t="s">
        <v>2652</v>
      </c>
      <c r="D81" s="236">
        <v>0</v>
      </c>
      <c r="E81" s="235" t="s">
        <v>607</v>
      </c>
      <c r="F81" s="235">
        <v>0</v>
      </c>
      <c r="G81" s="235">
        <v>0</v>
      </c>
      <c r="H81" s="235" t="s">
        <v>833</v>
      </c>
      <c r="I81" s="235">
        <v>0</v>
      </c>
      <c r="J81" s="235" t="s">
        <v>897</v>
      </c>
      <c r="K81" s="235">
        <v>11.2</v>
      </c>
    </row>
    <row r="82" spans="1:11" ht="67.5" x14ac:dyDescent="0.2">
      <c r="A82" s="235">
        <v>216</v>
      </c>
      <c r="B82" s="235" t="s">
        <v>389</v>
      </c>
      <c r="C82" s="235" t="s">
        <v>542</v>
      </c>
      <c r="D82" s="236">
        <v>0</v>
      </c>
      <c r="E82" s="235" t="s">
        <v>610</v>
      </c>
      <c r="F82" s="235">
        <v>0</v>
      </c>
      <c r="G82" s="235" t="s">
        <v>702</v>
      </c>
      <c r="H82" s="235" t="s">
        <v>833</v>
      </c>
      <c r="I82" s="235" t="s">
        <v>774</v>
      </c>
      <c r="J82" s="235" t="s">
        <v>897</v>
      </c>
      <c r="K82" s="235" t="s">
        <v>2165</v>
      </c>
    </row>
    <row r="83" spans="1:11" ht="33.75" x14ac:dyDescent="0.2">
      <c r="A83" s="235">
        <v>219</v>
      </c>
      <c r="B83" s="235" t="s">
        <v>392</v>
      </c>
      <c r="C83" s="235" t="s">
        <v>138</v>
      </c>
      <c r="D83" s="236">
        <v>0</v>
      </c>
      <c r="E83" s="235" t="s">
        <v>608</v>
      </c>
      <c r="F83" s="235" t="s">
        <v>620</v>
      </c>
      <c r="G83" s="235" t="s">
        <v>633</v>
      </c>
      <c r="H83" s="235" t="s">
        <v>714</v>
      </c>
      <c r="I83" s="235">
        <v>0</v>
      </c>
      <c r="J83" s="235">
        <v>0</v>
      </c>
      <c r="K83" s="235">
        <v>0</v>
      </c>
    </row>
    <row r="84" spans="1:11" ht="45" x14ac:dyDescent="0.2">
      <c r="A84" s="235">
        <v>220</v>
      </c>
      <c r="B84" s="235" t="s">
        <v>393</v>
      </c>
      <c r="C84" s="235" t="s">
        <v>139</v>
      </c>
      <c r="D84" s="236">
        <v>0</v>
      </c>
      <c r="E84" s="235" t="s">
        <v>585</v>
      </c>
      <c r="F84" s="235">
        <v>0</v>
      </c>
      <c r="G84" s="235" t="s">
        <v>633</v>
      </c>
      <c r="H84" s="235" t="s">
        <v>714</v>
      </c>
      <c r="I84" s="235">
        <v>0</v>
      </c>
      <c r="J84" s="235">
        <v>0</v>
      </c>
      <c r="K84" s="235">
        <v>0</v>
      </c>
    </row>
    <row r="85" spans="1:11" ht="33.75" x14ac:dyDescent="0.2">
      <c r="A85" s="235">
        <v>222</v>
      </c>
      <c r="B85" s="235" t="s">
        <v>395</v>
      </c>
      <c r="C85" s="235" t="s">
        <v>141</v>
      </c>
      <c r="D85" s="236">
        <v>0</v>
      </c>
      <c r="E85" s="235" t="s">
        <v>604</v>
      </c>
      <c r="F85" s="235" t="s">
        <v>707</v>
      </c>
      <c r="G85" s="235" t="s">
        <v>706</v>
      </c>
      <c r="H85" s="235" t="s">
        <v>714</v>
      </c>
      <c r="I85" s="235" t="s">
        <v>778</v>
      </c>
      <c r="J85" s="235" t="s">
        <v>900</v>
      </c>
      <c r="K85" s="235">
        <v>12.8</v>
      </c>
    </row>
    <row r="86" spans="1:11" ht="22.5" x14ac:dyDescent="0.2">
      <c r="A86" s="235">
        <v>223</v>
      </c>
      <c r="B86" s="235" t="s">
        <v>396</v>
      </c>
      <c r="C86" s="235" t="s">
        <v>142</v>
      </c>
      <c r="D86" s="236">
        <v>0</v>
      </c>
      <c r="E86" s="235" t="s">
        <v>585</v>
      </c>
      <c r="F86" s="235" t="s">
        <v>616</v>
      </c>
      <c r="G86" s="235">
        <v>0</v>
      </c>
      <c r="H86" s="235" t="s">
        <v>714</v>
      </c>
      <c r="I86" s="235">
        <v>0</v>
      </c>
      <c r="J86" s="235">
        <v>0</v>
      </c>
      <c r="K86" s="235">
        <v>12.2</v>
      </c>
    </row>
    <row r="87" spans="1:11" ht="45" x14ac:dyDescent="0.2">
      <c r="A87" s="235">
        <v>230</v>
      </c>
      <c r="B87" s="235" t="s">
        <v>403</v>
      </c>
      <c r="C87" s="235" t="s">
        <v>61</v>
      </c>
      <c r="D87" s="236">
        <v>0</v>
      </c>
      <c r="E87" s="235" t="s">
        <v>594</v>
      </c>
      <c r="F87" s="235" t="s">
        <v>713</v>
      </c>
      <c r="G87" s="235" t="s">
        <v>650</v>
      </c>
      <c r="H87" s="235" t="s">
        <v>714</v>
      </c>
      <c r="I87" s="235" t="s">
        <v>730</v>
      </c>
      <c r="J87" s="235" t="s">
        <v>855</v>
      </c>
      <c r="K87" s="235" t="s">
        <v>2135</v>
      </c>
    </row>
    <row r="88" spans="1:11" ht="45" x14ac:dyDescent="0.2">
      <c r="A88" s="235">
        <v>250</v>
      </c>
      <c r="B88" s="235" t="s">
        <v>423</v>
      </c>
      <c r="C88" s="235" t="s">
        <v>73</v>
      </c>
      <c r="D88" s="236">
        <v>0</v>
      </c>
      <c r="E88" s="235" t="s">
        <v>587</v>
      </c>
      <c r="F88" s="235">
        <v>0</v>
      </c>
      <c r="G88" s="235" t="s">
        <v>633</v>
      </c>
      <c r="H88" s="235" t="s">
        <v>714</v>
      </c>
      <c r="I88" s="235">
        <v>0</v>
      </c>
      <c r="J88" s="235">
        <v>0</v>
      </c>
      <c r="K88" s="235">
        <v>12.8</v>
      </c>
    </row>
    <row r="89" spans="1:11" ht="22.5" x14ac:dyDescent="0.2">
      <c r="A89" s="235">
        <v>253</v>
      </c>
      <c r="B89" s="235" t="s">
        <v>426</v>
      </c>
      <c r="C89" s="235" t="s">
        <v>76</v>
      </c>
      <c r="D89" s="236">
        <v>0</v>
      </c>
      <c r="E89" s="235">
        <v>0</v>
      </c>
      <c r="F89" s="235">
        <v>0</v>
      </c>
      <c r="G89" s="235">
        <v>0</v>
      </c>
      <c r="H89" s="235" t="s">
        <v>714</v>
      </c>
      <c r="I89" s="235">
        <v>0</v>
      </c>
      <c r="J89" s="235">
        <v>0</v>
      </c>
      <c r="K89" s="235">
        <v>12.8</v>
      </c>
    </row>
    <row r="90" spans="1:11" ht="22.5" x14ac:dyDescent="0.2">
      <c r="A90" s="235">
        <v>256</v>
      </c>
      <c r="B90" s="235" t="s">
        <v>429</v>
      </c>
      <c r="C90" s="235" t="s">
        <v>79</v>
      </c>
      <c r="D90" s="236">
        <v>0</v>
      </c>
      <c r="E90" s="235" t="s">
        <v>587</v>
      </c>
      <c r="F90" s="235">
        <v>0</v>
      </c>
      <c r="G90" s="235">
        <v>0</v>
      </c>
      <c r="H90" s="235" t="s">
        <v>714</v>
      </c>
      <c r="I90" s="235">
        <v>0</v>
      </c>
      <c r="J90" s="235">
        <v>0</v>
      </c>
      <c r="K90" s="235">
        <v>12.8</v>
      </c>
    </row>
    <row r="91" spans="1:11" ht="22.5" x14ac:dyDescent="0.2">
      <c r="A91" s="235">
        <v>263</v>
      </c>
      <c r="B91" s="235" t="s">
        <v>186</v>
      </c>
      <c r="C91" s="235" t="s">
        <v>911</v>
      </c>
      <c r="D91" s="236">
        <v>0</v>
      </c>
      <c r="E91" s="235">
        <v>0</v>
      </c>
      <c r="F91" s="235">
        <v>0</v>
      </c>
      <c r="G91" s="235">
        <v>0</v>
      </c>
      <c r="H91" s="235">
        <v>0</v>
      </c>
      <c r="I91" s="235">
        <v>0</v>
      </c>
      <c r="J91" s="235">
        <v>0</v>
      </c>
      <c r="K91" s="235">
        <v>0</v>
      </c>
    </row>
    <row r="92" spans="1:11" ht="22.5" x14ac:dyDescent="0.2">
      <c r="A92" s="235">
        <v>264</v>
      </c>
      <c r="B92" s="235" t="s">
        <v>187</v>
      </c>
      <c r="C92" s="235" t="s">
        <v>912</v>
      </c>
      <c r="D92" s="236">
        <v>0</v>
      </c>
      <c r="E92" s="235">
        <v>0</v>
      </c>
      <c r="F92" s="235">
        <v>0</v>
      </c>
      <c r="G92" s="235" t="s">
        <v>635</v>
      </c>
      <c r="H92" s="235">
        <v>0</v>
      </c>
      <c r="I92" s="235">
        <v>0</v>
      </c>
      <c r="J92" s="235">
        <v>0</v>
      </c>
      <c r="K92" s="235" t="s">
        <v>2129</v>
      </c>
    </row>
    <row r="93" spans="1:11" ht="45" x14ac:dyDescent="0.2">
      <c r="A93" s="235">
        <v>266</v>
      </c>
      <c r="B93" s="235" t="s">
        <v>437</v>
      </c>
      <c r="C93" s="235" t="s">
        <v>913</v>
      </c>
      <c r="D93" s="236">
        <v>0</v>
      </c>
      <c r="E93" s="235">
        <v>0</v>
      </c>
      <c r="F93" s="235">
        <v>0</v>
      </c>
      <c r="G93" s="235" t="s">
        <v>635</v>
      </c>
      <c r="H93" s="235">
        <v>0</v>
      </c>
      <c r="I93" s="235">
        <v>0</v>
      </c>
      <c r="J93" s="235">
        <v>0</v>
      </c>
      <c r="K93" s="235">
        <v>12.8</v>
      </c>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72"/>
      <c r="B361" s="72"/>
      <c r="C361" s="72"/>
      <c r="D361" s="72"/>
      <c r="E361" s="72"/>
      <c r="F361" s="72"/>
      <c r="G361" s="72"/>
      <c r="H361" s="72"/>
      <c r="I361" s="72"/>
      <c r="J361" s="72"/>
    </row>
    <row r="362" spans="1:11" ht="15" x14ac:dyDescent="0.2">
      <c r="A362" s="72"/>
      <c r="B362" s="72"/>
      <c r="C362" s="72"/>
      <c r="D362" s="72"/>
      <c r="E362" s="72"/>
      <c r="F362" s="72"/>
      <c r="G362" s="72"/>
      <c r="H362" s="72"/>
      <c r="I362" s="72"/>
      <c r="J362" s="72"/>
    </row>
    <row r="363" spans="1:11" ht="15" x14ac:dyDescent="0.2">
      <c r="A363" s="72"/>
      <c r="B363" s="72"/>
      <c r="C363" s="72"/>
      <c r="D363" s="72"/>
      <c r="E363" s="72"/>
      <c r="F363" s="72"/>
      <c r="G363" s="72"/>
      <c r="H363" s="72"/>
      <c r="I363" s="72"/>
      <c r="J363" s="72"/>
    </row>
    <row r="364" spans="1:11" ht="15" x14ac:dyDescent="0.2">
      <c r="A364" s="72"/>
      <c r="B364" s="72"/>
      <c r="C364" s="72"/>
      <c r="D364" s="72"/>
      <c r="E364" s="72"/>
      <c r="F364" s="72"/>
      <c r="G364" s="72"/>
      <c r="H364" s="72"/>
      <c r="I364" s="72"/>
      <c r="J364" s="72"/>
    </row>
    <row r="365" spans="1:11" ht="15" x14ac:dyDescent="0.2">
      <c r="A365" s="72"/>
      <c r="B365" s="72"/>
      <c r="C365" s="72"/>
      <c r="D365" s="72"/>
      <c r="E365" s="72"/>
      <c r="F365" s="72"/>
      <c r="G365" s="72"/>
      <c r="H365" s="72"/>
      <c r="I365" s="72"/>
      <c r="J365" s="72"/>
    </row>
    <row r="366" spans="1:11" ht="15" x14ac:dyDescent="0.2">
      <c r="A366" s="72"/>
      <c r="B366" s="72"/>
      <c r="C366" s="72"/>
      <c r="D366" s="72"/>
      <c r="E366" s="72"/>
      <c r="F366" s="72"/>
      <c r="G366" s="72"/>
      <c r="H366" s="72"/>
      <c r="I366" s="72"/>
      <c r="J366" s="72"/>
    </row>
    <row r="367" spans="1:11" ht="15" x14ac:dyDescent="0.2">
      <c r="A367" s="72"/>
      <c r="B367" s="72"/>
      <c r="C367" s="72"/>
      <c r="D367" s="72"/>
      <c r="E367" s="72"/>
      <c r="F367" s="72"/>
      <c r="G367" s="72"/>
      <c r="H367" s="72"/>
      <c r="I367" s="72"/>
      <c r="J367" s="72"/>
    </row>
    <row r="368" spans="1:11" ht="15" x14ac:dyDescent="0.2">
      <c r="A368" s="72"/>
      <c r="B368" s="72"/>
      <c r="C368" s="72"/>
      <c r="D368" s="72"/>
      <c r="E368" s="72"/>
      <c r="F368" s="72"/>
      <c r="G368" s="72"/>
      <c r="H368" s="72"/>
      <c r="I368" s="72"/>
      <c r="J368" s="72"/>
    </row>
    <row r="369" spans="1:10" ht="15" x14ac:dyDescent="0.2">
      <c r="A369" s="72"/>
      <c r="B369" s="72"/>
      <c r="C369" s="72"/>
      <c r="D369" s="72"/>
      <c r="E369" s="72"/>
      <c r="F369" s="72"/>
      <c r="G369" s="72"/>
      <c r="H369" s="72"/>
      <c r="I369" s="72"/>
      <c r="J369" s="72"/>
    </row>
    <row r="370" spans="1:10" ht="15" x14ac:dyDescent="0.2">
      <c r="A370" s="72"/>
      <c r="B370" s="72"/>
      <c r="C370" s="72"/>
      <c r="D370" s="72"/>
      <c r="E370" s="72"/>
      <c r="F370" s="72"/>
      <c r="G370" s="72"/>
      <c r="H370" s="72"/>
      <c r="I370" s="72"/>
      <c r="J370" s="72"/>
    </row>
    <row r="371" spans="1:10" ht="15" x14ac:dyDescent="0.2">
      <c r="A371" s="72"/>
      <c r="B371" s="72"/>
      <c r="C371" s="72"/>
      <c r="D371" s="72"/>
      <c r="E371" s="72"/>
      <c r="F371" s="72"/>
      <c r="G371" s="72"/>
      <c r="H371" s="72"/>
      <c r="I371" s="72"/>
      <c r="J371" s="72"/>
    </row>
    <row r="372" spans="1:10" ht="15" x14ac:dyDescent="0.2">
      <c r="A372" s="72"/>
      <c r="B372" s="72"/>
      <c r="C372" s="72"/>
      <c r="D372" s="72"/>
      <c r="E372" s="72"/>
      <c r="F372" s="72"/>
      <c r="G372" s="72"/>
      <c r="H372" s="72"/>
      <c r="I372" s="72"/>
      <c r="J372" s="72"/>
    </row>
    <row r="373" spans="1:10" ht="15" x14ac:dyDescent="0.2">
      <c r="A373" s="72"/>
      <c r="B373" s="72"/>
      <c r="C373" s="72"/>
      <c r="D373" s="72"/>
      <c r="E373" s="72"/>
      <c r="F373" s="72"/>
      <c r="G373" s="72"/>
      <c r="H373" s="72"/>
      <c r="I373" s="72"/>
      <c r="J373" s="72"/>
    </row>
    <row r="374" spans="1:10" ht="15" x14ac:dyDescent="0.2">
      <c r="A374" s="72"/>
      <c r="B374" s="72"/>
      <c r="C374" s="72"/>
      <c r="D374" s="72"/>
      <c r="E374" s="72"/>
      <c r="F374" s="72"/>
      <c r="G374" s="72"/>
      <c r="H374" s="72"/>
      <c r="I374" s="72"/>
      <c r="J374" s="72"/>
    </row>
    <row r="375" spans="1:10" ht="15" x14ac:dyDescent="0.2">
      <c r="A375" s="72"/>
      <c r="B375" s="72"/>
      <c r="C375" s="72"/>
      <c r="D375" s="72"/>
      <c r="E375" s="72"/>
      <c r="F375" s="72"/>
      <c r="G375" s="72"/>
      <c r="H375" s="72"/>
      <c r="I375" s="72"/>
      <c r="J375" s="72"/>
    </row>
    <row r="376" spans="1:10" ht="15" x14ac:dyDescent="0.2">
      <c r="A376" s="72"/>
      <c r="B376" s="72"/>
      <c r="C376" s="72"/>
      <c r="D376" s="72"/>
      <c r="E376" s="72"/>
      <c r="F376" s="72"/>
      <c r="G376" s="72"/>
      <c r="H376" s="72"/>
      <c r="I376" s="72"/>
      <c r="J376" s="72"/>
    </row>
    <row r="377" spans="1:10" ht="15" x14ac:dyDescent="0.2">
      <c r="A377" s="72"/>
      <c r="B377" s="72"/>
      <c r="C377" s="72"/>
      <c r="D377" s="72"/>
      <c r="E377" s="72"/>
      <c r="F377" s="72"/>
      <c r="G377" s="72"/>
      <c r="H377" s="72"/>
      <c r="I377" s="72"/>
      <c r="J377" s="72"/>
    </row>
    <row r="378" spans="1:10" ht="15" x14ac:dyDescent="0.2">
      <c r="A378" s="72"/>
      <c r="B378" s="72"/>
      <c r="C378" s="72"/>
      <c r="D378" s="72"/>
      <c r="E378" s="72"/>
      <c r="F378" s="72"/>
      <c r="G378" s="72"/>
      <c r="H378" s="72"/>
      <c r="I378" s="72"/>
      <c r="J378" s="72"/>
    </row>
    <row r="379" spans="1:10" ht="15" x14ac:dyDescent="0.2">
      <c r="A379" s="72"/>
      <c r="B379" s="72"/>
      <c r="C379" s="72"/>
      <c r="D379" s="72"/>
      <c r="E379" s="72"/>
      <c r="F379" s="72"/>
      <c r="G379" s="72"/>
      <c r="H379" s="72"/>
      <c r="I379" s="72"/>
      <c r="J379" s="72"/>
    </row>
    <row r="380" spans="1:10" ht="15" x14ac:dyDescent="0.2">
      <c r="A380" s="72"/>
      <c r="B380" s="72"/>
      <c r="C380" s="72"/>
      <c r="D380" s="72"/>
      <c r="E380" s="72"/>
      <c r="F380" s="72"/>
      <c r="G380" s="72"/>
      <c r="H380" s="72"/>
      <c r="I380" s="72"/>
      <c r="J380" s="72"/>
    </row>
    <row r="381" spans="1:10" ht="15" x14ac:dyDescent="0.2">
      <c r="A381" s="72"/>
      <c r="B381" s="72"/>
      <c r="C381" s="72"/>
      <c r="D381" s="72"/>
      <c r="E381" s="72"/>
      <c r="F381" s="72"/>
      <c r="G381" s="72"/>
      <c r="H381" s="72"/>
      <c r="I381" s="72"/>
      <c r="J381" s="72"/>
    </row>
    <row r="382" spans="1:10" ht="15" x14ac:dyDescent="0.2">
      <c r="A382" s="72"/>
      <c r="B382" s="72"/>
      <c r="C382" s="72"/>
      <c r="D382" s="72"/>
      <c r="E382" s="72"/>
      <c r="F382" s="72"/>
      <c r="G382" s="72"/>
      <c r="H382" s="72"/>
      <c r="I382" s="72"/>
      <c r="J382" s="72"/>
    </row>
    <row r="383" spans="1:10" ht="15" x14ac:dyDescent="0.2">
      <c r="A383" s="72"/>
      <c r="B383" s="72"/>
      <c r="C383" s="72"/>
      <c r="D383" s="72"/>
      <c r="E383" s="72"/>
      <c r="F383" s="72"/>
      <c r="G383" s="72"/>
      <c r="H383" s="72"/>
      <c r="I383" s="72"/>
      <c r="J383" s="72"/>
    </row>
    <row r="384" spans="1:10" ht="15" x14ac:dyDescent="0.2">
      <c r="A384" s="72"/>
      <c r="B384" s="72"/>
      <c r="C384" s="72"/>
      <c r="D384" s="72"/>
      <c r="E384" s="72"/>
      <c r="F384" s="72"/>
      <c r="G384" s="72"/>
      <c r="H384" s="72"/>
      <c r="I384" s="72"/>
      <c r="J384" s="72"/>
    </row>
    <row r="385" spans="1:10" ht="15" x14ac:dyDescent="0.2">
      <c r="A385" s="72"/>
      <c r="B385" s="72"/>
      <c r="C385" s="72"/>
      <c r="D385" s="72"/>
      <c r="E385" s="72"/>
      <c r="F385" s="72"/>
      <c r="G385" s="72"/>
      <c r="H385" s="72"/>
      <c r="I385" s="72"/>
      <c r="J385" s="72"/>
    </row>
    <row r="386" spans="1:10" ht="15" x14ac:dyDescent="0.2">
      <c r="A386" s="72"/>
      <c r="B386" s="72"/>
      <c r="C386" s="72"/>
      <c r="D386" s="72"/>
      <c r="E386" s="72"/>
      <c r="F386" s="72"/>
      <c r="G386" s="72"/>
      <c r="H386" s="72"/>
      <c r="I386" s="72"/>
      <c r="J386" s="72"/>
    </row>
    <row r="387" spans="1:10" ht="15" x14ac:dyDescent="0.2">
      <c r="A387" s="72"/>
      <c r="B387" s="72"/>
      <c r="C387" s="72"/>
      <c r="D387" s="72"/>
      <c r="E387" s="72"/>
      <c r="F387" s="72"/>
      <c r="G387" s="72"/>
      <c r="H387" s="72"/>
      <c r="I387" s="72"/>
      <c r="J387" s="72"/>
    </row>
    <row r="388" spans="1:10" ht="15" x14ac:dyDescent="0.2">
      <c r="A388" s="72"/>
      <c r="B388" s="72"/>
      <c r="C388" s="72"/>
      <c r="D388" s="72"/>
      <c r="E388" s="72"/>
      <c r="F388" s="72"/>
      <c r="G388" s="72"/>
      <c r="H388" s="72"/>
      <c r="I388" s="72"/>
      <c r="J388" s="72"/>
    </row>
    <row r="389" spans="1:10" ht="15" x14ac:dyDescent="0.2">
      <c r="A389" s="72"/>
      <c r="B389" s="72"/>
      <c r="C389" s="72"/>
      <c r="D389" s="72"/>
      <c r="E389" s="72"/>
      <c r="F389" s="72"/>
      <c r="G389" s="72"/>
      <c r="H389" s="72"/>
      <c r="I389" s="72"/>
      <c r="J389" s="72"/>
    </row>
    <row r="390" spans="1:10" ht="15" x14ac:dyDescent="0.2">
      <c r="A390" s="72"/>
      <c r="B390" s="72"/>
      <c r="C390" s="72"/>
      <c r="D390" s="72"/>
      <c r="E390" s="72"/>
      <c r="F390" s="72"/>
      <c r="G390" s="72"/>
      <c r="H390" s="72"/>
      <c r="I390" s="72"/>
      <c r="J390" s="72"/>
    </row>
    <row r="391" spans="1:10" ht="15" x14ac:dyDescent="0.2">
      <c r="A391" s="72"/>
      <c r="B391" s="72"/>
      <c r="C391" s="72"/>
      <c r="D391" s="72"/>
      <c r="E391" s="72"/>
      <c r="F391" s="72"/>
      <c r="G391" s="72"/>
      <c r="H391" s="72"/>
      <c r="I391" s="72"/>
      <c r="J391" s="72"/>
    </row>
    <row r="392" spans="1:10" ht="15" x14ac:dyDescent="0.2">
      <c r="A392" s="72"/>
      <c r="B392" s="72"/>
      <c r="C392" s="72"/>
      <c r="D392" s="72"/>
      <c r="E392" s="72"/>
      <c r="F392" s="72"/>
      <c r="G392" s="72"/>
      <c r="H392" s="72"/>
      <c r="I392" s="72"/>
      <c r="J392" s="72"/>
    </row>
    <row r="393" spans="1:10" ht="15" x14ac:dyDescent="0.2">
      <c r="A393" s="72"/>
      <c r="B393" s="72"/>
      <c r="C393" s="72"/>
      <c r="D393" s="72"/>
      <c r="E393" s="72"/>
      <c r="F393" s="72"/>
      <c r="G393" s="72"/>
      <c r="H393" s="72"/>
      <c r="I393" s="72"/>
      <c r="J393" s="72"/>
    </row>
    <row r="394" spans="1:10" ht="15" x14ac:dyDescent="0.2">
      <c r="A394" s="72"/>
      <c r="B394" s="72"/>
      <c r="C394" s="72"/>
      <c r="D394" s="72"/>
      <c r="E394" s="72"/>
      <c r="F394" s="72"/>
      <c r="G394" s="72"/>
      <c r="H394" s="72"/>
      <c r="I394" s="72"/>
      <c r="J394" s="72"/>
    </row>
    <row r="395" spans="1:10" ht="15" x14ac:dyDescent="0.2">
      <c r="A395" s="72"/>
      <c r="B395" s="72"/>
      <c r="C395" s="72"/>
      <c r="D395" s="72"/>
      <c r="E395" s="72"/>
      <c r="F395" s="72"/>
      <c r="G395" s="72"/>
      <c r="H395" s="72"/>
      <c r="I395" s="72"/>
      <c r="J395" s="72"/>
    </row>
    <row r="396" spans="1:10" ht="15" x14ac:dyDescent="0.2">
      <c r="A396" s="72"/>
      <c r="B396" s="72"/>
      <c r="C396" s="72"/>
      <c r="D396" s="72"/>
      <c r="E396" s="72"/>
      <c r="F396" s="72"/>
      <c r="G396" s="72"/>
      <c r="H396" s="72"/>
      <c r="I396" s="72"/>
      <c r="J396" s="72"/>
    </row>
    <row r="397" spans="1:10" ht="15" x14ac:dyDescent="0.2">
      <c r="A397" s="72"/>
      <c r="B397" s="72"/>
      <c r="C397" s="72"/>
      <c r="D397" s="72"/>
      <c r="E397" s="72"/>
      <c r="F397" s="72"/>
      <c r="G397" s="72"/>
      <c r="H397" s="72"/>
      <c r="I397" s="72"/>
      <c r="J397" s="72"/>
    </row>
    <row r="398" spans="1:10" ht="15" x14ac:dyDescent="0.2">
      <c r="A398" s="72"/>
      <c r="B398" s="72"/>
      <c r="C398" s="72"/>
      <c r="D398" s="72"/>
      <c r="E398" s="72"/>
      <c r="F398" s="72"/>
      <c r="G398" s="72"/>
      <c r="H398" s="72"/>
      <c r="I398" s="72"/>
      <c r="J398" s="72"/>
    </row>
    <row r="399" spans="1:10" ht="15" x14ac:dyDescent="0.2">
      <c r="A399" s="72"/>
      <c r="B399" s="72"/>
      <c r="C399" s="72"/>
      <c r="D399" s="72"/>
      <c r="E399" s="72"/>
      <c r="F399" s="72"/>
      <c r="G399" s="72"/>
      <c r="H399" s="72"/>
      <c r="I399" s="72"/>
      <c r="J399" s="72"/>
    </row>
    <row r="400" spans="1:10" ht="15" x14ac:dyDescent="0.2">
      <c r="A400" s="72"/>
      <c r="B400" s="72"/>
      <c r="C400" s="72"/>
      <c r="D400" s="72"/>
      <c r="E400" s="72"/>
      <c r="F400" s="72"/>
      <c r="G400" s="72"/>
      <c r="H400" s="72"/>
      <c r="I400" s="72"/>
      <c r="J400" s="72"/>
    </row>
    <row r="401" spans="1:10" ht="15" x14ac:dyDescent="0.2">
      <c r="A401" s="72"/>
      <c r="B401" s="72"/>
      <c r="C401" s="72"/>
      <c r="D401" s="72"/>
      <c r="E401" s="72"/>
      <c r="F401" s="72"/>
      <c r="G401" s="72"/>
      <c r="H401" s="72"/>
      <c r="I401" s="72"/>
      <c r="J401" s="72"/>
    </row>
    <row r="402" spans="1:10" ht="15" x14ac:dyDescent="0.2">
      <c r="A402" s="72"/>
      <c r="B402" s="72"/>
      <c r="C402" s="72"/>
      <c r="D402" s="72"/>
      <c r="E402" s="72"/>
      <c r="F402" s="72"/>
      <c r="G402" s="72"/>
      <c r="H402" s="72"/>
      <c r="I402" s="72"/>
      <c r="J402" s="72"/>
    </row>
    <row r="403" spans="1:10" ht="15" x14ac:dyDescent="0.2">
      <c r="A403" s="72"/>
      <c r="B403" s="72"/>
      <c r="C403" s="72"/>
      <c r="D403" s="72"/>
      <c r="E403" s="72"/>
      <c r="F403" s="72"/>
      <c r="G403" s="72"/>
      <c r="H403" s="72"/>
      <c r="I403" s="72"/>
      <c r="J403" s="72"/>
    </row>
    <row r="404" spans="1:10" ht="15" x14ac:dyDescent="0.2">
      <c r="A404" s="72"/>
      <c r="B404" s="72"/>
      <c r="C404" s="72"/>
      <c r="D404" s="72"/>
      <c r="E404" s="72"/>
      <c r="F404" s="72"/>
      <c r="G404" s="72"/>
      <c r="H404" s="72"/>
      <c r="I404" s="72"/>
      <c r="J404" s="72"/>
    </row>
    <row r="405" spans="1:10" ht="15" x14ac:dyDescent="0.2">
      <c r="A405" s="72"/>
      <c r="B405" s="72"/>
      <c r="C405" s="72"/>
      <c r="D405" s="72"/>
      <c r="E405" s="72"/>
      <c r="F405" s="72"/>
      <c r="G405" s="72"/>
      <c r="H405" s="72"/>
      <c r="I405" s="72"/>
      <c r="J405" s="72"/>
    </row>
    <row r="406" spans="1:10" ht="15" x14ac:dyDescent="0.2">
      <c r="A406" s="72"/>
      <c r="B406" s="72"/>
      <c r="C406" s="72"/>
      <c r="D406" s="72"/>
      <c r="E406" s="72"/>
      <c r="F406" s="72"/>
      <c r="G406" s="72"/>
      <c r="H406" s="72"/>
      <c r="I406" s="72"/>
      <c r="J406" s="72"/>
    </row>
    <row r="407" spans="1:10" ht="15" x14ac:dyDescent="0.2">
      <c r="A407" s="72"/>
      <c r="B407" s="72"/>
      <c r="C407" s="72"/>
      <c r="D407" s="72"/>
      <c r="E407" s="72"/>
      <c r="F407" s="72"/>
      <c r="G407" s="72"/>
      <c r="H407" s="72"/>
      <c r="I407" s="72"/>
      <c r="J407" s="72"/>
    </row>
    <row r="408" spans="1:10" ht="15" x14ac:dyDescent="0.2">
      <c r="A408" s="72"/>
      <c r="B408" s="72"/>
      <c r="C408" s="72"/>
      <c r="D408" s="72"/>
      <c r="E408" s="72"/>
      <c r="F408" s="72"/>
      <c r="G408" s="72"/>
      <c r="H408" s="72"/>
      <c r="I408" s="72"/>
      <c r="J408" s="72"/>
    </row>
    <row r="409" spans="1:10" ht="15" x14ac:dyDescent="0.2">
      <c r="A409" s="72"/>
      <c r="B409" s="72"/>
      <c r="C409" s="72"/>
      <c r="D409" s="72"/>
      <c r="E409" s="72"/>
      <c r="F409" s="72"/>
      <c r="G409" s="72"/>
      <c r="H409" s="72"/>
      <c r="I409" s="72"/>
      <c r="J409" s="72"/>
    </row>
    <row r="410" spans="1:10" ht="15" x14ac:dyDescent="0.2">
      <c r="A410" s="72"/>
      <c r="B410" s="72"/>
      <c r="C410" s="72"/>
      <c r="D410" s="72"/>
      <c r="E410" s="72"/>
      <c r="F410" s="72"/>
      <c r="G410" s="72"/>
      <c r="H410" s="72"/>
      <c r="I410" s="72"/>
      <c r="J410" s="72"/>
    </row>
    <row r="411" spans="1:10" ht="15" x14ac:dyDescent="0.2">
      <c r="A411" s="72"/>
      <c r="B411" s="72"/>
      <c r="C411" s="72"/>
      <c r="D411" s="72"/>
      <c r="E411" s="72"/>
      <c r="F411" s="72"/>
      <c r="G411" s="72"/>
      <c r="H411" s="72"/>
      <c r="I411" s="72"/>
      <c r="J411" s="72"/>
    </row>
    <row r="412" spans="1:10" ht="15" x14ac:dyDescent="0.2">
      <c r="A412" s="72"/>
      <c r="B412" s="72"/>
      <c r="C412" s="72"/>
      <c r="D412" s="72"/>
      <c r="E412" s="72"/>
      <c r="F412" s="72"/>
      <c r="G412" s="72"/>
      <c r="H412" s="72"/>
      <c r="I412" s="72"/>
      <c r="J412" s="72"/>
    </row>
    <row r="413" spans="1:10" ht="15" x14ac:dyDescent="0.2">
      <c r="A413" s="72"/>
      <c r="B413" s="72"/>
      <c r="C413" s="72"/>
      <c r="D413" s="72"/>
      <c r="E413" s="72"/>
      <c r="F413" s="72"/>
      <c r="G413" s="72"/>
      <c r="H413" s="72"/>
      <c r="I413" s="72"/>
      <c r="J413" s="72"/>
    </row>
    <row r="414" spans="1:10" ht="15" x14ac:dyDescent="0.2">
      <c r="A414" s="72"/>
      <c r="B414" s="72"/>
      <c r="C414" s="72"/>
      <c r="D414" s="72"/>
      <c r="E414" s="72"/>
      <c r="F414" s="72"/>
      <c r="G414" s="72"/>
      <c r="H414" s="72"/>
      <c r="I414" s="72"/>
      <c r="J414" s="72"/>
    </row>
    <row r="415" spans="1:10" ht="15" x14ac:dyDescent="0.2">
      <c r="A415" s="72"/>
      <c r="B415" s="72"/>
      <c r="C415" s="72"/>
      <c r="D415" s="72"/>
      <c r="E415" s="72"/>
      <c r="F415" s="72"/>
      <c r="G415" s="72"/>
      <c r="H415" s="72"/>
      <c r="I415" s="72"/>
      <c r="J415" s="72"/>
    </row>
    <row r="416" spans="1:10" ht="15" x14ac:dyDescent="0.2">
      <c r="A416" s="72"/>
      <c r="B416" s="72"/>
      <c r="C416" s="72"/>
      <c r="D416" s="72"/>
      <c r="E416" s="72"/>
      <c r="F416" s="72"/>
      <c r="G416" s="72"/>
      <c r="H416" s="72"/>
      <c r="I416" s="72"/>
      <c r="J416" s="72"/>
    </row>
    <row r="417" spans="1:10" ht="15" x14ac:dyDescent="0.2">
      <c r="A417" s="72"/>
      <c r="B417" s="72"/>
      <c r="C417" s="72"/>
      <c r="D417" s="72"/>
      <c r="E417" s="72"/>
      <c r="F417" s="72"/>
      <c r="G417" s="72"/>
      <c r="H417" s="72"/>
      <c r="I417" s="72"/>
      <c r="J417" s="72"/>
    </row>
    <row r="418" spans="1:10" ht="15" x14ac:dyDescent="0.2">
      <c r="A418" s="72"/>
      <c r="B418" s="72"/>
      <c r="C418" s="72"/>
      <c r="D418" s="72"/>
      <c r="E418" s="72"/>
      <c r="F418" s="72"/>
      <c r="G418" s="72"/>
      <c r="H418" s="72"/>
      <c r="I418" s="72"/>
      <c r="J418" s="72"/>
    </row>
    <row r="419" spans="1:10" ht="15" x14ac:dyDescent="0.2">
      <c r="A419" s="72"/>
      <c r="B419" s="72"/>
      <c r="C419" s="72"/>
      <c r="D419" s="72"/>
      <c r="E419" s="72"/>
      <c r="F419" s="72"/>
      <c r="G419" s="72"/>
      <c r="H419" s="72"/>
      <c r="I419" s="72"/>
      <c r="J419" s="72"/>
    </row>
    <row r="420" spans="1:10" ht="15" x14ac:dyDescent="0.2">
      <c r="A420" s="72"/>
      <c r="B420" s="72"/>
      <c r="C420" s="72"/>
      <c r="D420" s="72"/>
      <c r="E420" s="72"/>
      <c r="F420" s="72"/>
      <c r="G420" s="72"/>
      <c r="H420" s="72"/>
      <c r="I420" s="72"/>
      <c r="J420" s="72"/>
    </row>
    <row r="421" spans="1:10" ht="15" x14ac:dyDescent="0.2">
      <c r="A421" s="72"/>
      <c r="B421" s="72"/>
      <c r="C421" s="72"/>
      <c r="D421" s="72"/>
      <c r="E421" s="72"/>
      <c r="F421" s="72"/>
      <c r="G421" s="72"/>
      <c r="H421" s="72"/>
      <c r="I421" s="72"/>
      <c r="J421" s="72"/>
    </row>
    <row r="422" spans="1:10" ht="15" x14ac:dyDescent="0.2">
      <c r="A422" s="72"/>
      <c r="B422" s="72"/>
      <c r="C422" s="72"/>
      <c r="D422" s="72"/>
      <c r="E422" s="72"/>
      <c r="F422" s="72"/>
      <c r="G422" s="72"/>
      <c r="H422" s="72"/>
      <c r="I422" s="72"/>
      <c r="J422" s="72"/>
    </row>
    <row r="423" spans="1:10" ht="15" x14ac:dyDescent="0.2">
      <c r="A423" s="72"/>
      <c r="B423" s="72"/>
      <c r="C423" s="72"/>
      <c r="D423" s="72"/>
      <c r="E423" s="72"/>
      <c r="F423" s="72"/>
      <c r="G423" s="72"/>
      <c r="H423" s="72"/>
      <c r="I423" s="72"/>
      <c r="J423" s="72"/>
    </row>
    <row r="424" spans="1:10" ht="15" x14ac:dyDescent="0.2">
      <c r="A424" s="72"/>
      <c r="B424" s="72"/>
      <c r="C424" s="72"/>
      <c r="D424" s="72"/>
      <c r="E424" s="72"/>
      <c r="F424" s="72"/>
      <c r="G424" s="72"/>
      <c r="H424" s="72"/>
      <c r="I424" s="72"/>
      <c r="J424" s="72"/>
    </row>
    <row r="425" spans="1:10" ht="15" x14ac:dyDescent="0.2">
      <c r="A425" s="72"/>
      <c r="B425" s="72"/>
      <c r="C425" s="72"/>
      <c r="D425" s="72"/>
      <c r="E425" s="72"/>
      <c r="F425" s="72"/>
      <c r="G425" s="72"/>
      <c r="H425" s="72"/>
      <c r="I425" s="72"/>
      <c r="J425" s="72"/>
    </row>
    <row r="426" spans="1:10" ht="15" x14ac:dyDescent="0.2">
      <c r="A426" s="72"/>
      <c r="B426" s="72"/>
      <c r="C426" s="72"/>
      <c r="D426" s="72"/>
      <c r="E426" s="72"/>
      <c r="F426" s="72"/>
      <c r="G426" s="72"/>
      <c r="H426" s="72"/>
      <c r="I426" s="72"/>
      <c r="J426" s="72"/>
    </row>
    <row r="427" spans="1:10" ht="15" x14ac:dyDescent="0.2">
      <c r="A427" s="72"/>
      <c r="B427" s="72"/>
      <c r="C427" s="72"/>
      <c r="D427" s="72"/>
      <c r="E427" s="72"/>
      <c r="F427" s="72"/>
      <c r="G427" s="72"/>
      <c r="H427" s="72"/>
      <c r="I427" s="72"/>
      <c r="J427" s="72"/>
    </row>
    <row r="428" spans="1:10" ht="15" x14ac:dyDescent="0.2">
      <c r="A428" s="72"/>
      <c r="B428" s="72"/>
      <c r="C428" s="72"/>
      <c r="D428" s="72"/>
      <c r="E428" s="72"/>
      <c r="F428" s="72"/>
      <c r="G428" s="72"/>
      <c r="H428" s="72"/>
      <c r="I428" s="72"/>
      <c r="J428" s="72"/>
    </row>
    <row r="429" spans="1:10" ht="15" x14ac:dyDescent="0.2">
      <c r="A429" s="72"/>
      <c r="B429" s="72"/>
      <c r="C429" s="72"/>
      <c r="D429" s="72"/>
      <c r="E429" s="72"/>
      <c r="F429" s="72"/>
      <c r="G429" s="72"/>
      <c r="H429" s="72"/>
      <c r="I429" s="72"/>
      <c r="J429" s="72"/>
    </row>
    <row r="430" spans="1:10" ht="15" x14ac:dyDescent="0.2">
      <c r="A430" s="72"/>
      <c r="B430" s="72"/>
      <c r="C430" s="72"/>
      <c r="D430" s="72"/>
      <c r="E430" s="72"/>
      <c r="F430" s="72"/>
      <c r="G430" s="72"/>
      <c r="H430" s="72"/>
      <c r="I430" s="72"/>
      <c r="J430" s="72"/>
    </row>
    <row r="431" spans="1:10" ht="15" x14ac:dyDescent="0.2">
      <c r="A431" s="72"/>
      <c r="B431" s="72"/>
      <c r="C431" s="72"/>
      <c r="D431" s="72"/>
      <c r="E431" s="72"/>
      <c r="F431" s="72"/>
      <c r="G431" s="72"/>
      <c r="H431" s="72"/>
      <c r="I431" s="72"/>
      <c r="J431" s="72"/>
    </row>
    <row r="432" spans="1:10" ht="15" x14ac:dyDescent="0.2">
      <c r="A432" s="72"/>
      <c r="B432" s="72"/>
      <c r="C432" s="72"/>
      <c r="D432" s="72"/>
      <c r="E432" s="72"/>
      <c r="F432" s="72"/>
      <c r="G432" s="72"/>
      <c r="H432" s="72"/>
      <c r="I432" s="72"/>
      <c r="J432" s="72"/>
    </row>
    <row r="433" spans="1:10" ht="15" x14ac:dyDescent="0.2">
      <c r="A433" s="72"/>
      <c r="B433" s="72"/>
      <c r="C433" s="72"/>
      <c r="D433" s="72"/>
      <c r="E433" s="72"/>
      <c r="F433" s="72"/>
      <c r="G433" s="72"/>
      <c r="H433" s="72"/>
      <c r="I433" s="72"/>
      <c r="J433" s="72"/>
    </row>
    <row r="434" spans="1:10" ht="15" x14ac:dyDescent="0.2">
      <c r="A434" s="72"/>
      <c r="B434" s="72"/>
      <c r="C434" s="72"/>
      <c r="D434" s="72"/>
      <c r="E434" s="72"/>
      <c r="F434" s="72"/>
      <c r="G434" s="72"/>
      <c r="H434" s="72"/>
      <c r="I434" s="72"/>
      <c r="J434" s="72"/>
    </row>
    <row r="435" spans="1:10" ht="15" x14ac:dyDescent="0.2">
      <c r="A435" s="72"/>
      <c r="B435" s="72"/>
      <c r="C435" s="72"/>
      <c r="D435" s="72"/>
      <c r="E435" s="72"/>
      <c r="F435" s="72"/>
      <c r="G435" s="72"/>
      <c r="H435" s="72"/>
      <c r="I435" s="72"/>
      <c r="J435" s="72"/>
    </row>
    <row r="436" spans="1:10" ht="15" x14ac:dyDescent="0.2">
      <c r="A436" s="72"/>
      <c r="B436" s="72"/>
      <c r="C436" s="72"/>
      <c r="D436" s="72"/>
      <c r="E436" s="72"/>
      <c r="F436" s="72"/>
      <c r="G436" s="72"/>
      <c r="H436" s="72"/>
      <c r="I436" s="72"/>
      <c r="J436" s="72"/>
    </row>
    <row r="437" spans="1:10" ht="15" x14ac:dyDescent="0.2">
      <c r="A437" s="72"/>
      <c r="B437" s="72"/>
      <c r="C437" s="72"/>
      <c r="D437" s="72"/>
      <c r="E437" s="72"/>
      <c r="F437" s="72"/>
      <c r="G437" s="72"/>
      <c r="H437" s="72"/>
      <c r="I437" s="72"/>
      <c r="J437" s="72"/>
    </row>
    <row r="438" spans="1:10" ht="15" x14ac:dyDescent="0.2">
      <c r="A438" s="72"/>
      <c r="B438" s="72"/>
      <c r="C438" s="72"/>
      <c r="D438" s="72"/>
      <c r="E438" s="72"/>
      <c r="F438" s="72"/>
      <c r="G438" s="72"/>
      <c r="H438" s="72"/>
      <c r="I438" s="72"/>
      <c r="J438" s="72"/>
    </row>
    <row r="439" spans="1:10" ht="15" x14ac:dyDescent="0.2">
      <c r="A439" s="72"/>
      <c r="B439" s="72"/>
      <c r="C439" s="72"/>
      <c r="D439" s="72"/>
      <c r="E439" s="72"/>
      <c r="F439" s="72"/>
      <c r="G439" s="72"/>
      <c r="H439" s="72"/>
      <c r="I439" s="72"/>
      <c r="J439" s="72"/>
    </row>
    <row r="440" spans="1:10" ht="15" x14ac:dyDescent="0.2">
      <c r="A440" s="72"/>
      <c r="B440" s="72"/>
      <c r="C440" s="72"/>
      <c r="D440" s="72"/>
      <c r="E440" s="72"/>
      <c r="F440" s="72"/>
      <c r="G440" s="72"/>
      <c r="H440" s="72"/>
      <c r="I440" s="72"/>
      <c r="J440" s="72"/>
    </row>
    <row r="441" spans="1:10" ht="15" x14ac:dyDescent="0.2">
      <c r="A441" s="72"/>
      <c r="B441" s="72"/>
      <c r="C441" s="72"/>
      <c r="D441" s="72"/>
      <c r="E441" s="72"/>
      <c r="F441" s="72"/>
      <c r="G441" s="72"/>
      <c r="H441" s="72"/>
      <c r="I441" s="72"/>
      <c r="J441" s="72"/>
    </row>
    <row r="442" spans="1:10" ht="15" x14ac:dyDescent="0.2">
      <c r="A442" s="72"/>
      <c r="B442" s="72"/>
      <c r="C442" s="72"/>
      <c r="D442" s="72"/>
      <c r="E442" s="72"/>
      <c r="F442" s="72"/>
      <c r="G442" s="72"/>
      <c r="H442" s="72"/>
      <c r="I442" s="72"/>
      <c r="J442" s="72"/>
    </row>
    <row r="443" spans="1:10" ht="15" x14ac:dyDescent="0.2">
      <c r="A443" s="72"/>
      <c r="B443" s="72"/>
      <c r="C443" s="72"/>
      <c r="D443" s="72"/>
      <c r="E443" s="72"/>
      <c r="F443" s="72"/>
      <c r="G443" s="72"/>
      <c r="H443" s="72"/>
      <c r="I443" s="72"/>
      <c r="J443" s="72"/>
    </row>
    <row r="444" spans="1:10" ht="15" x14ac:dyDescent="0.2">
      <c r="A444" s="72"/>
      <c r="B444" s="72"/>
      <c r="C444" s="72"/>
      <c r="D444" s="72"/>
      <c r="E444" s="72"/>
      <c r="F444" s="72"/>
      <c r="G444" s="72"/>
      <c r="H444" s="72"/>
      <c r="I444" s="72"/>
      <c r="J444" s="72"/>
    </row>
    <row r="445" spans="1:10" ht="15" x14ac:dyDescent="0.2">
      <c r="A445" s="72"/>
      <c r="B445" s="72"/>
      <c r="C445" s="72"/>
      <c r="D445" s="72"/>
      <c r="E445" s="72"/>
      <c r="F445" s="72"/>
      <c r="G445" s="72"/>
      <c r="H445" s="72"/>
      <c r="I445" s="72"/>
      <c r="J445" s="72"/>
    </row>
    <row r="446" spans="1:10" ht="15" x14ac:dyDescent="0.2">
      <c r="A446" s="72"/>
      <c r="B446" s="72"/>
      <c r="C446" s="72"/>
      <c r="D446" s="72"/>
      <c r="E446" s="72"/>
      <c r="F446" s="72"/>
      <c r="G446" s="72"/>
      <c r="H446" s="72"/>
      <c r="I446" s="72"/>
      <c r="J446" s="72"/>
    </row>
    <row r="447" spans="1:10" ht="15" x14ac:dyDescent="0.2">
      <c r="A447" s="72"/>
      <c r="B447" s="72"/>
      <c r="C447" s="72"/>
      <c r="D447" s="72"/>
      <c r="E447" s="72"/>
      <c r="F447" s="72"/>
      <c r="G447" s="72"/>
      <c r="H447" s="72"/>
      <c r="I447" s="72"/>
      <c r="J447" s="72"/>
    </row>
    <row r="448" spans="1:10" ht="15" x14ac:dyDescent="0.2">
      <c r="A448" s="72"/>
      <c r="B448" s="72"/>
      <c r="C448" s="72"/>
      <c r="D448" s="72"/>
      <c r="E448" s="72"/>
      <c r="F448" s="72"/>
      <c r="G448" s="72"/>
      <c r="H448" s="72"/>
      <c r="I448" s="72"/>
      <c r="J448" s="72"/>
    </row>
    <row r="449" spans="1:10" ht="15" x14ac:dyDescent="0.2">
      <c r="A449" s="72"/>
      <c r="B449" s="72"/>
      <c r="C449" s="72"/>
      <c r="D449" s="72"/>
      <c r="E449" s="72"/>
      <c r="F449" s="72"/>
      <c r="G449" s="72"/>
      <c r="H449" s="72"/>
      <c r="I449" s="72"/>
      <c r="J449" s="72"/>
    </row>
    <row r="450" spans="1:10" ht="15" x14ac:dyDescent="0.2">
      <c r="A450" s="72"/>
      <c r="B450" s="72"/>
      <c r="C450" s="72"/>
      <c r="D450" s="72"/>
      <c r="E450" s="72"/>
      <c r="F450" s="72"/>
      <c r="G450" s="72"/>
      <c r="H450" s="72"/>
      <c r="I450" s="72"/>
      <c r="J450" s="72"/>
    </row>
    <row r="451" spans="1:10" ht="15" x14ac:dyDescent="0.2">
      <c r="A451" s="72"/>
      <c r="B451" s="72"/>
      <c r="C451" s="72"/>
      <c r="D451" s="72"/>
      <c r="E451" s="72"/>
      <c r="F451" s="72"/>
      <c r="G451" s="72"/>
      <c r="H451" s="72"/>
      <c r="I451" s="72"/>
      <c r="J451" s="72"/>
    </row>
    <row r="452" spans="1:10" ht="15" x14ac:dyDescent="0.2">
      <c r="A452" s="72"/>
      <c r="B452" s="72"/>
      <c r="C452" s="72"/>
      <c r="D452" s="72"/>
      <c r="E452" s="72"/>
      <c r="F452" s="72"/>
      <c r="G452" s="72"/>
      <c r="H452" s="72"/>
      <c r="I452" s="72"/>
      <c r="J452" s="72"/>
    </row>
    <row r="453" spans="1:10" ht="15" x14ac:dyDescent="0.2">
      <c r="A453" s="72"/>
      <c r="B453" s="72"/>
      <c r="C453" s="72"/>
      <c r="D453" s="72"/>
      <c r="E453" s="72"/>
      <c r="F453" s="72"/>
      <c r="G453" s="72"/>
      <c r="H453" s="72"/>
      <c r="I453" s="72"/>
      <c r="J453" s="72"/>
    </row>
    <row r="454" spans="1:10" ht="15" x14ac:dyDescent="0.2">
      <c r="A454" s="72"/>
      <c r="B454" s="72"/>
      <c r="C454" s="72"/>
      <c r="D454" s="72"/>
      <c r="E454" s="72"/>
      <c r="F454" s="72"/>
      <c r="G454" s="72"/>
      <c r="H454" s="72"/>
      <c r="I454" s="72"/>
      <c r="J454" s="72"/>
    </row>
    <row r="455" spans="1:10" ht="15" x14ac:dyDescent="0.2">
      <c r="A455" s="72"/>
      <c r="B455" s="72"/>
      <c r="C455" s="72"/>
      <c r="D455" s="72"/>
      <c r="E455" s="72"/>
      <c r="F455" s="72"/>
      <c r="G455" s="72"/>
      <c r="H455" s="72"/>
      <c r="I455" s="72"/>
      <c r="J455" s="72"/>
    </row>
    <row r="456" spans="1:10" ht="15" x14ac:dyDescent="0.2">
      <c r="A456" s="72"/>
      <c r="B456" s="72"/>
      <c r="C456" s="72"/>
      <c r="D456" s="72"/>
      <c r="E456" s="72"/>
      <c r="F456" s="72"/>
      <c r="G456" s="72"/>
      <c r="H456" s="72"/>
      <c r="I456" s="72"/>
      <c r="J456" s="72"/>
    </row>
    <row r="457" spans="1:10" ht="15" x14ac:dyDescent="0.2">
      <c r="A457" s="72"/>
      <c r="B457" s="72"/>
      <c r="C457" s="72"/>
      <c r="D457" s="72"/>
      <c r="E457" s="72"/>
      <c r="F457" s="72"/>
      <c r="G457" s="72"/>
      <c r="H457" s="72"/>
      <c r="I457" s="72"/>
      <c r="J457" s="72"/>
    </row>
    <row r="458" spans="1:10" ht="15" x14ac:dyDescent="0.2">
      <c r="A458" s="72"/>
      <c r="B458" s="72"/>
      <c r="C458" s="72"/>
      <c r="D458" s="72"/>
      <c r="E458" s="72"/>
      <c r="F458" s="72"/>
      <c r="G458" s="72"/>
      <c r="H458" s="72"/>
      <c r="I458" s="72"/>
      <c r="J458" s="72"/>
    </row>
    <row r="459" spans="1:10" ht="15" x14ac:dyDescent="0.2">
      <c r="A459" s="72"/>
      <c r="B459" s="72"/>
      <c r="C459" s="72"/>
      <c r="D459" s="72"/>
      <c r="E459" s="72"/>
      <c r="F459" s="72"/>
      <c r="G459" s="72"/>
      <c r="H459" s="72"/>
      <c r="I459" s="72"/>
      <c r="J459" s="72"/>
    </row>
    <row r="460" spans="1:10" ht="15" x14ac:dyDescent="0.2">
      <c r="A460" s="72"/>
      <c r="B460" s="72"/>
      <c r="C460" s="72"/>
      <c r="D460" s="72"/>
      <c r="E460" s="72"/>
      <c r="F460" s="72"/>
      <c r="G460" s="72"/>
      <c r="H460" s="72"/>
      <c r="I460" s="72"/>
      <c r="J460" s="72"/>
    </row>
    <row r="461" spans="1:10" ht="15" x14ac:dyDescent="0.2">
      <c r="A461" s="72"/>
      <c r="B461" s="72"/>
      <c r="C461" s="72"/>
      <c r="D461" s="72"/>
      <c r="E461" s="72"/>
      <c r="F461" s="72"/>
      <c r="G461" s="72"/>
      <c r="H461" s="72"/>
      <c r="I461" s="72"/>
      <c r="J461" s="72"/>
    </row>
    <row r="462" spans="1:10" ht="15" x14ac:dyDescent="0.2">
      <c r="A462" s="72"/>
      <c r="B462" s="72"/>
      <c r="C462" s="72"/>
      <c r="D462" s="72"/>
      <c r="E462" s="72"/>
      <c r="F462" s="72"/>
      <c r="G462" s="72"/>
      <c r="H462" s="72"/>
      <c r="I462" s="72"/>
      <c r="J462" s="72"/>
    </row>
    <row r="463" spans="1:10" ht="15" x14ac:dyDescent="0.2">
      <c r="A463" s="72"/>
      <c r="B463" s="72"/>
      <c r="C463" s="72"/>
      <c r="D463" s="72"/>
      <c r="E463" s="72"/>
      <c r="F463" s="72"/>
      <c r="G463" s="72"/>
      <c r="H463" s="72"/>
      <c r="I463" s="72"/>
      <c r="J463" s="72"/>
    </row>
    <row r="464" spans="1:10" ht="15" x14ac:dyDescent="0.2">
      <c r="A464" s="72"/>
      <c r="B464" s="72"/>
      <c r="C464" s="72"/>
      <c r="D464" s="72"/>
      <c r="E464" s="72"/>
      <c r="F464" s="72"/>
      <c r="G464" s="72"/>
      <c r="H464" s="72"/>
      <c r="I464" s="72"/>
      <c r="J464" s="72"/>
    </row>
    <row r="465" spans="1:10" ht="15" x14ac:dyDescent="0.2">
      <c r="A465" s="72"/>
      <c r="B465" s="72"/>
      <c r="C465" s="72"/>
      <c r="D465" s="72"/>
      <c r="E465" s="72"/>
      <c r="F465" s="72"/>
      <c r="G465" s="72"/>
      <c r="H465" s="72"/>
      <c r="I465" s="72"/>
      <c r="J465" s="72"/>
    </row>
    <row r="466" spans="1:10" ht="15" x14ac:dyDescent="0.2">
      <c r="A466" s="72"/>
      <c r="B466" s="72"/>
      <c r="C466" s="72"/>
      <c r="D466" s="72"/>
      <c r="E466" s="72"/>
      <c r="F466" s="72"/>
      <c r="G466" s="72"/>
      <c r="H466" s="72"/>
      <c r="I466" s="72"/>
      <c r="J466" s="72"/>
    </row>
    <row r="467" spans="1:10" ht="15" x14ac:dyDescent="0.2">
      <c r="A467" s="72"/>
      <c r="B467" s="72"/>
      <c r="C467" s="72"/>
      <c r="D467" s="72"/>
      <c r="E467" s="72"/>
      <c r="F467" s="72"/>
      <c r="G467" s="72"/>
      <c r="H467" s="72"/>
      <c r="I467" s="72"/>
      <c r="J467" s="72"/>
    </row>
    <row r="468" spans="1:10" ht="15" x14ac:dyDescent="0.2">
      <c r="A468" s="72"/>
      <c r="B468" s="72"/>
      <c r="C468" s="72"/>
      <c r="D468" s="72"/>
      <c r="E468" s="72"/>
      <c r="F468" s="72"/>
      <c r="G468" s="72"/>
      <c r="H468" s="72"/>
      <c r="I468" s="72"/>
      <c r="J468" s="72"/>
    </row>
    <row r="469" spans="1:10" ht="15" x14ac:dyDescent="0.2">
      <c r="A469" s="72"/>
      <c r="B469" s="72"/>
      <c r="C469" s="72"/>
      <c r="D469" s="72"/>
      <c r="E469" s="72"/>
      <c r="F469" s="72"/>
      <c r="G469" s="72"/>
      <c r="H469" s="72"/>
      <c r="I469" s="72"/>
      <c r="J469" s="72"/>
    </row>
    <row r="470" spans="1:10" ht="15" x14ac:dyDescent="0.2">
      <c r="A470" s="72"/>
      <c r="B470" s="72"/>
      <c r="C470" s="72"/>
      <c r="D470" s="72"/>
      <c r="E470" s="72"/>
      <c r="F470" s="72"/>
      <c r="G470" s="72"/>
      <c r="H470" s="72"/>
      <c r="I470" s="72"/>
      <c r="J470" s="72"/>
    </row>
    <row r="471" spans="1:10" ht="15" x14ac:dyDescent="0.2">
      <c r="A471" s="72"/>
      <c r="B471" s="72"/>
      <c r="C471" s="72"/>
      <c r="D471" s="72"/>
      <c r="E471" s="72"/>
      <c r="F471" s="72"/>
      <c r="G471" s="72"/>
      <c r="H471" s="72"/>
      <c r="I471" s="72"/>
      <c r="J471" s="72"/>
    </row>
    <row r="472" spans="1:10" ht="15" x14ac:dyDescent="0.2">
      <c r="A472" s="72"/>
      <c r="B472" s="72"/>
      <c r="C472" s="72"/>
      <c r="D472" s="72"/>
      <c r="E472" s="72"/>
      <c r="F472" s="72"/>
      <c r="G472" s="72"/>
      <c r="H472" s="72"/>
      <c r="I472" s="72"/>
      <c r="J472" s="72"/>
    </row>
    <row r="473" spans="1:10" ht="15" x14ac:dyDescent="0.2">
      <c r="A473" s="72"/>
      <c r="B473" s="72"/>
      <c r="C473" s="72"/>
      <c r="D473" s="72"/>
      <c r="E473" s="72"/>
      <c r="F473" s="72"/>
      <c r="G473" s="72"/>
      <c r="H473" s="72"/>
      <c r="I473" s="72"/>
      <c r="J473" s="72"/>
    </row>
    <row r="474" spans="1:10" ht="15" x14ac:dyDescent="0.2">
      <c r="A474" s="72"/>
      <c r="B474" s="72"/>
      <c r="C474" s="72"/>
      <c r="D474" s="72"/>
      <c r="E474" s="72"/>
      <c r="F474" s="72"/>
      <c r="G474" s="72"/>
      <c r="H474" s="72"/>
      <c r="I474" s="72"/>
      <c r="J474" s="72"/>
    </row>
    <row r="475" spans="1:10" ht="15" x14ac:dyDescent="0.2">
      <c r="A475" s="72"/>
      <c r="B475" s="72"/>
      <c r="C475" s="72"/>
      <c r="D475" s="72"/>
      <c r="E475" s="72"/>
      <c r="F475" s="72"/>
      <c r="G475" s="72"/>
      <c r="H475" s="72"/>
      <c r="I475" s="72"/>
      <c r="J475" s="72"/>
    </row>
    <row r="476" spans="1:10" ht="15" x14ac:dyDescent="0.2">
      <c r="A476" s="72"/>
      <c r="B476" s="72"/>
      <c r="C476" s="72"/>
      <c r="D476" s="72"/>
      <c r="E476" s="72"/>
      <c r="F476" s="72"/>
      <c r="G476" s="72"/>
      <c r="H476" s="72"/>
      <c r="I476" s="72"/>
      <c r="J476" s="72"/>
    </row>
    <row r="477" spans="1:10" ht="15" x14ac:dyDescent="0.2">
      <c r="A477" s="72"/>
      <c r="B477" s="72"/>
      <c r="C477" s="72"/>
      <c r="D477" s="72"/>
      <c r="E477" s="72"/>
      <c r="F477" s="72"/>
      <c r="G477" s="72"/>
      <c r="H477" s="72"/>
      <c r="I477" s="72"/>
      <c r="J477" s="72"/>
    </row>
    <row r="478" spans="1:10" ht="15" x14ac:dyDescent="0.2">
      <c r="A478" s="72"/>
      <c r="B478" s="72"/>
      <c r="C478" s="72"/>
      <c r="D478" s="72"/>
      <c r="E478" s="72"/>
      <c r="F478" s="72"/>
      <c r="G478" s="72"/>
      <c r="H478" s="72"/>
      <c r="I478" s="72"/>
      <c r="J478" s="72"/>
    </row>
    <row r="479" spans="1:10" ht="15" x14ac:dyDescent="0.2">
      <c r="A479" s="72"/>
      <c r="B479" s="72"/>
      <c r="C479" s="72"/>
      <c r="D479" s="72"/>
      <c r="E479" s="72"/>
      <c r="F479" s="72"/>
      <c r="G479" s="72"/>
      <c r="H479" s="72"/>
      <c r="I479" s="72"/>
      <c r="J479" s="72"/>
    </row>
    <row r="480" spans="1:10" ht="15" x14ac:dyDescent="0.2">
      <c r="A480" s="72"/>
      <c r="B480" s="72"/>
      <c r="C480" s="72"/>
      <c r="D480" s="72"/>
      <c r="E480" s="72"/>
      <c r="F480" s="72"/>
      <c r="G480" s="72"/>
      <c r="H480" s="72"/>
      <c r="I480" s="72"/>
      <c r="J480" s="72"/>
    </row>
    <row r="481" spans="1:10" ht="15" x14ac:dyDescent="0.2">
      <c r="A481" s="72"/>
      <c r="B481" s="72"/>
      <c r="C481" s="72"/>
      <c r="D481" s="72"/>
      <c r="E481" s="72"/>
      <c r="F481" s="72"/>
      <c r="G481" s="72"/>
      <c r="H481" s="72"/>
      <c r="I481" s="72"/>
      <c r="J481" s="72"/>
    </row>
    <row r="482" spans="1:10" ht="15" x14ac:dyDescent="0.2">
      <c r="A482" s="72"/>
      <c r="B482" s="72"/>
      <c r="C482" s="72"/>
      <c r="D482" s="72"/>
      <c r="E482" s="72"/>
      <c r="F482" s="72"/>
      <c r="G482" s="72"/>
      <c r="H482" s="72"/>
      <c r="I482" s="72"/>
      <c r="J482" s="72"/>
    </row>
    <row r="483" spans="1:10" ht="15" x14ac:dyDescent="0.2">
      <c r="A483" s="72"/>
      <c r="B483" s="72"/>
      <c r="C483" s="72"/>
      <c r="D483" s="72"/>
      <c r="E483" s="72"/>
      <c r="F483" s="72"/>
      <c r="G483" s="72"/>
      <c r="H483" s="72"/>
      <c r="I483" s="72"/>
      <c r="J483" s="72"/>
    </row>
    <row r="484" spans="1:10" ht="15" x14ac:dyDescent="0.2">
      <c r="A484" s="72"/>
      <c r="B484" s="72"/>
      <c r="C484" s="72"/>
      <c r="D484" s="72"/>
      <c r="E484" s="72"/>
      <c r="F484" s="72"/>
      <c r="G484" s="72"/>
      <c r="H484" s="72"/>
      <c r="I484" s="72"/>
      <c r="J484" s="72"/>
    </row>
    <row r="485" spans="1:10" ht="15" x14ac:dyDescent="0.2">
      <c r="A485" s="72"/>
      <c r="B485" s="72"/>
      <c r="C485" s="72"/>
      <c r="D485" s="72"/>
      <c r="E485" s="72"/>
      <c r="F485" s="72"/>
      <c r="G485" s="72"/>
      <c r="H485" s="72"/>
      <c r="I485" s="72"/>
      <c r="J485" s="72"/>
    </row>
    <row r="486" spans="1:10" ht="15" x14ac:dyDescent="0.2">
      <c r="A486" s="72"/>
      <c r="B486" s="72"/>
      <c r="C486" s="72"/>
      <c r="D486" s="72"/>
      <c r="E486" s="72"/>
      <c r="F486" s="72"/>
      <c r="G486" s="72"/>
      <c r="H486" s="72"/>
      <c r="I486" s="72"/>
      <c r="J486" s="72"/>
    </row>
    <row r="487" spans="1:10" ht="15" x14ac:dyDescent="0.2">
      <c r="A487" s="72"/>
      <c r="B487" s="72"/>
      <c r="C487" s="72"/>
      <c r="D487" s="72"/>
      <c r="E487" s="72"/>
      <c r="F487" s="72"/>
      <c r="G487" s="72"/>
      <c r="H487" s="72"/>
      <c r="I487" s="72"/>
      <c r="J487" s="72"/>
    </row>
    <row r="488" spans="1:10" ht="15" x14ac:dyDescent="0.2">
      <c r="A488" s="72"/>
      <c r="B488" s="72"/>
      <c r="C488" s="72"/>
      <c r="D488" s="72"/>
      <c r="E488" s="72"/>
      <c r="F488" s="72"/>
      <c r="G488" s="72"/>
      <c r="H488" s="72"/>
      <c r="I488" s="72"/>
      <c r="J488" s="72"/>
    </row>
    <row r="489" spans="1:10" ht="15" x14ac:dyDescent="0.2">
      <c r="A489" s="72"/>
      <c r="B489" s="72"/>
      <c r="C489" s="72"/>
      <c r="D489" s="72"/>
      <c r="E489" s="72"/>
      <c r="F489" s="72"/>
      <c r="G489" s="72"/>
      <c r="H489" s="72"/>
      <c r="I489" s="72"/>
      <c r="J489" s="72"/>
    </row>
    <row r="490" spans="1:10" ht="15" x14ac:dyDescent="0.2">
      <c r="A490" s="72"/>
      <c r="B490" s="72"/>
      <c r="C490" s="72"/>
      <c r="D490" s="72"/>
      <c r="E490" s="72"/>
      <c r="F490" s="72"/>
      <c r="G490" s="72"/>
      <c r="H490" s="72"/>
      <c r="I490" s="72"/>
      <c r="J490" s="72"/>
    </row>
    <row r="491" spans="1:10" ht="15" x14ac:dyDescent="0.2">
      <c r="A491" s="72"/>
      <c r="B491" s="72"/>
      <c r="C491" s="72"/>
      <c r="D491" s="72"/>
      <c r="E491" s="72"/>
      <c r="F491" s="72"/>
      <c r="G491" s="72"/>
      <c r="H491" s="72"/>
      <c r="I491" s="72"/>
      <c r="J491" s="72"/>
    </row>
    <row r="492" spans="1:10" ht="15" x14ac:dyDescent="0.2">
      <c r="A492" s="72"/>
      <c r="B492" s="72"/>
      <c r="C492" s="72"/>
      <c r="D492" s="72"/>
      <c r="E492" s="72"/>
      <c r="F492" s="72"/>
      <c r="G492" s="72"/>
      <c r="H492" s="72"/>
      <c r="I492" s="72"/>
      <c r="J492" s="72"/>
    </row>
    <row r="493" spans="1:10" ht="15" x14ac:dyDescent="0.2">
      <c r="A493" s="72"/>
      <c r="B493" s="72"/>
      <c r="C493" s="72"/>
      <c r="D493" s="72"/>
      <c r="E493" s="72"/>
      <c r="F493" s="72"/>
      <c r="G493" s="72"/>
      <c r="H493" s="72"/>
      <c r="I493" s="72"/>
      <c r="J493" s="72"/>
    </row>
    <row r="494" spans="1:10" ht="15" x14ac:dyDescent="0.2">
      <c r="A494" s="72"/>
      <c r="B494" s="72"/>
      <c r="C494" s="72"/>
      <c r="D494" s="72"/>
      <c r="E494" s="72"/>
      <c r="F494" s="72"/>
      <c r="G494" s="72"/>
      <c r="H494" s="72"/>
      <c r="I494" s="72"/>
      <c r="J494" s="72"/>
    </row>
    <row r="495" spans="1:10" ht="15" x14ac:dyDescent="0.2">
      <c r="A495" s="72"/>
      <c r="B495" s="72"/>
      <c r="C495" s="72"/>
      <c r="D495" s="72"/>
      <c r="E495" s="72"/>
      <c r="F495" s="72"/>
      <c r="G495" s="72"/>
      <c r="H495" s="72"/>
      <c r="I495" s="72"/>
      <c r="J495" s="72"/>
    </row>
    <row r="496" spans="1:10" ht="15" x14ac:dyDescent="0.2">
      <c r="A496" s="72"/>
      <c r="B496" s="72"/>
      <c r="C496" s="72"/>
      <c r="D496" s="72"/>
      <c r="E496" s="72"/>
      <c r="F496" s="72"/>
      <c r="G496" s="72"/>
      <c r="H496" s="72"/>
      <c r="I496" s="72"/>
      <c r="J496" s="72"/>
    </row>
    <row r="497" spans="1:10" ht="15" x14ac:dyDescent="0.2">
      <c r="A497" s="72"/>
      <c r="B497" s="72"/>
      <c r="C497" s="72"/>
      <c r="D497" s="72"/>
      <c r="E497" s="72"/>
      <c r="F497" s="72"/>
      <c r="G497" s="72"/>
      <c r="H497" s="72"/>
      <c r="I497" s="72"/>
      <c r="J497" s="72"/>
    </row>
    <row r="498" spans="1:10" ht="15" x14ac:dyDescent="0.2">
      <c r="A498" s="72"/>
      <c r="B498" s="72"/>
      <c r="C498" s="72"/>
      <c r="D498" s="72"/>
      <c r="E498" s="72"/>
      <c r="F498" s="72"/>
      <c r="G498" s="72"/>
      <c r="H498" s="72"/>
      <c r="I498" s="72"/>
      <c r="J498" s="72"/>
    </row>
    <row r="499" spans="1:10" ht="15" x14ac:dyDescent="0.2">
      <c r="A499" s="72"/>
      <c r="B499" s="72"/>
      <c r="C499" s="72"/>
      <c r="D499" s="72"/>
      <c r="E499" s="72"/>
      <c r="F499" s="72"/>
      <c r="G499" s="72"/>
      <c r="H499" s="72"/>
      <c r="I499" s="72"/>
      <c r="J499" s="72"/>
    </row>
    <row r="500" spans="1:10" ht="15" x14ac:dyDescent="0.2">
      <c r="A500" s="72"/>
      <c r="B500" s="72"/>
      <c r="C500" s="72"/>
      <c r="D500" s="72"/>
      <c r="E500" s="72"/>
      <c r="F500" s="72"/>
      <c r="G500" s="72"/>
      <c r="H500" s="72"/>
      <c r="I500" s="72"/>
      <c r="J500" s="72"/>
    </row>
    <row r="501" spans="1:10" ht="15" x14ac:dyDescent="0.2">
      <c r="A501" s="72"/>
      <c r="B501" s="72"/>
      <c r="C501" s="72"/>
      <c r="D501" s="72"/>
      <c r="E501" s="72"/>
      <c r="F501" s="72"/>
      <c r="G501" s="72"/>
      <c r="H501" s="72"/>
      <c r="I501" s="72"/>
      <c r="J501" s="72"/>
    </row>
    <row r="502" spans="1:10" ht="15" x14ac:dyDescent="0.2">
      <c r="A502" s="72"/>
      <c r="B502" s="72"/>
      <c r="C502" s="72"/>
      <c r="D502" s="72"/>
      <c r="E502" s="72"/>
      <c r="F502" s="72"/>
      <c r="G502" s="72"/>
      <c r="H502" s="72"/>
      <c r="I502" s="72"/>
      <c r="J502" s="72"/>
    </row>
    <row r="503" spans="1:10" ht="15" x14ac:dyDescent="0.2">
      <c r="A503" s="72"/>
      <c r="B503" s="72"/>
      <c r="C503" s="72"/>
      <c r="D503" s="72"/>
      <c r="E503" s="72"/>
      <c r="F503" s="72"/>
      <c r="G503" s="72"/>
      <c r="H503" s="72"/>
      <c r="I503" s="72"/>
      <c r="J503" s="72"/>
    </row>
    <row r="504" spans="1:10" ht="15" x14ac:dyDescent="0.2">
      <c r="A504" s="72"/>
      <c r="B504" s="72"/>
      <c r="C504" s="72"/>
      <c r="D504" s="72"/>
      <c r="E504" s="72"/>
      <c r="F504" s="72"/>
      <c r="G504" s="72"/>
      <c r="H504" s="72"/>
      <c r="I504" s="72"/>
      <c r="J504" s="72"/>
    </row>
    <row r="505" spans="1:10" ht="15" x14ac:dyDescent="0.2">
      <c r="A505" s="72"/>
      <c r="B505" s="72"/>
      <c r="C505" s="72"/>
      <c r="D505" s="72"/>
      <c r="E505" s="72"/>
      <c r="F505" s="72"/>
      <c r="G505" s="72"/>
      <c r="H505" s="72"/>
      <c r="I505" s="72"/>
      <c r="J505" s="72"/>
    </row>
    <row r="506" spans="1:10" ht="15" x14ac:dyDescent="0.2">
      <c r="A506" s="72"/>
      <c r="B506" s="72"/>
      <c r="C506" s="72"/>
      <c r="D506" s="72"/>
      <c r="E506" s="72"/>
      <c r="F506" s="72"/>
      <c r="G506" s="72"/>
      <c r="H506" s="72"/>
      <c r="I506" s="72"/>
      <c r="J506" s="72"/>
    </row>
    <row r="507" spans="1:10" ht="15" x14ac:dyDescent="0.2">
      <c r="A507" s="72"/>
      <c r="B507" s="72"/>
      <c r="C507" s="72"/>
      <c r="D507" s="72"/>
      <c r="E507" s="72"/>
      <c r="F507" s="72"/>
      <c r="G507" s="72"/>
      <c r="H507" s="72"/>
      <c r="I507" s="72"/>
      <c r="J507" s="72"/>
    </row>
    <row r="508" spans="1:10" ht="15" x14ac:dyDescent="0.2">
      <c r="A508" s="72"/>
      <c r="B508" s="72"/>
      <c r="C508" s="72"/>
      <c r="D508" s="72"/>
      <c r="E508" s="72"/>
      <c r="F508" s="72"/>
      <c r="G508" s="72"/>
      <c r="H508" s="72"/>
      <c r="I508" s="72"/>
      <c r="J508" s="72"/>
    </row>
    <row r="509" spans="1:10" ht="15" x14ac:dyDescent="0.2">
      <c r="A509" s="72"/>
      <c r="B509" s="72"/>
      <c r="C509" s="72"/>
      <c r="D509" s="72"/>
      <c r="E509" s="72"/>
      <c r="F509" s="72"/>
      <c r="G509" s="72"/>
      <c r="H509" s="72"/>
      <c r="I509" s="72"/>
      <c r="J509" s="72"/>
    </row>
    <row r="510" spans="1:10" ht="15" x14ac:dyDescent="0.2">
      <c r="A510" s="72"/>
      <c r="B510" s="72"/>
      <c r="C510" s="72"/>
      <c r="D510" s="72"/>
      <c r="E510" s="72"/>
      <c r="F510" s="72"/>
      <c r="G510" s="72"/>
      <c r="H510" s="72"/>
      <c r="I510" s="72"/>
      <c r="J510" s="72"/>
    </row>
    <row r="511" spans="1:10" ht="15" x14ac:dyDescent="0.2">
      <c r="A511" s="72"/>
      <c r="B511" s="72"/>
      <c r="C511" s="72"/>
      <c r="D511" s="72"/>
      <c r="E511" s="72"/>
      <c r="F511" s="72"/>
      <c r="G511" s="72"/>
      <c r="H511" s="72"/>
      <c r="I511" s="72"/>
      <c r="J511" s="72"/>
    </row>
    <row r="512" spans="1:10" ht="15" x14ac:dyDescent="0.2">
      <c r="A512" s="72"/>
      <c r="B512" s="72"/>
      <c r="C512" s="72"/>
      <c r="D512" s="72"/>
      <c r="E512" s="72"/>
      <c r="F512" s="72"/>
      <c r="G512" s="72"/>
      <c r="H512" s="72"/>
      <c r="I512" s="72"/>
      <c r="J512" s="72"/>
    </row>
    <row r="513" spans="1:10" ht="15" x14ac:dyDescent="0.2">
      <c r="A513" s="72"/>
      <c r="B513" s="72"/>
      <c r="C513" s="72"/>
      <c r="D513" s="72"/>
      <c r="E513" s="72"/>
      <c r="F513" s="72"/>
      <c r="G513" s="72"/>
      <c r="H513" s="72"/>
      <c r="I513" s="72"/>
      <c r="J513" s="72"/>
    </row>
    <row r="514" spans="1:10" ht="15" x14ac:dyDescent="0.2">
      <c r="A514" s="72"/>
      <c r="B514" s="72"/>
      <c r="C514" s="72"/>
      <c r="D514" s="72"/>
      <c r="E514" s="72"/>
      <c r="F514" s="72"/>
      <c r="G514" s="72"/>
      <c r="H514" s="72"/>
      <c r="I514" s="72"/>
      <c r="J514" s="72"/>
    </row>
    <row r="515" spans="1:10" ht="15" x14ac:dyDescent="0.2">
      <c r="A515" s="72"/>
      <c r="B515" s="72"/>
      <c r="C515" s="72"/>
      <c r="D515" s="72"/>
      <c r="E515" s="72"/>
      <c r="F515" s="72"/>
      <c r="G515" s="72"/>
      <c r="H515" s="72"/>
      <c r="I515" s="72"/>
      <c r="J515" s="72"/>
    </row>
    <row r="516" spans="1:10" ht="15" x14ac:dyDescent="0.2">
      <c r="A516" s="72"/>
      <c r="B516" s="72"/>
      <c r="C516" s="72"/>
      <c r="D516" s="72"/>
      <c r="E516" s="72"/>
      <c r="F516" s="72"/>
      <c r="G516" s="72"/>
      <c r="H516" s="72"/>
      <c r="I516" s="72"/>
      <c r="J516" s="72"/>
    </row>
    <row r="517" spans="1:10" ht="15" x14ac:dyDescent="0.2">
      <c r="A517" s="72"/>
      <c r="B517" s="72"/>
      <c r="C517" s="72"/>
      <c r="D517" s="72"/>
      <c r="E517" s="72"/>
      <c r="F517" s="72"/>
      <c r="G517" s="72"/>
      <c r="H517" s="72"/>
      <c r="I517" s="72"/>
      <c r="J517" s="72"/>
    </row>
    <row r="518" spans="1:10" ht="15" x14ac:dyDescent="0.2">
      <c r="A518" s="72"/>
      <c r="B518" s="72"/>
      <c r="C518" s="72"/>
      <c r="D518" s="72"/>
      <c r="E518" s="72"/>
      <c r="F518" s="72"/>
      <c r="G518" s="72"/>
      <c r="H518" s="72"/>
      <c r="I518" s="72"/>
      <c r="J518" s="72"/>
    </row>
    <row r="519" spans="1:10" ht="15" x14ac:dyDescent="0.2">
      <c r="A519" s="72"/>
      <c r="B519" s="72"/>
      <c r="C519" s="72"/>
      <c r="D519" s="72"/>
      <c r="E519" s="72"/>
      <c r="F519" s="72"/>
      <c r="G519" s="72"/>
      <c r="H519" s="72"/>
      <c r="I519" s="72"/>
      <c r="J519" s="72"/>
    </row>
    <row r="520" spans="1:10" ht="15" x14ac:dyDescent="0.2">
      <c r="A520" s="72"/>
      <c r="B520" s="72"/>
      <c r="C520" s="72"/>
      <c r="D520" s="72"/>
      <c r="E520" s="72"/>
      <c r="F520" s="72"/>
      <c r="G520" s="72"/>
      <c r="H520" s="72"/>
      <c r="I520" s="72"/>
      <c r="J520" s="72"/>
    </row>
    <row r="521" spans="1:10" ht="15" x14ac:dyDescent="0.2">
      <c r="A521" s="72"/>
      <c r="B521" s="72"/>
      <c r="C521" s="72"/>
      <c r="D521" s="72"/>
      <c r="E521" s="72"/>
      <c r="F521" s="72"/>
      <c r="G521" s="72"/>
      <c r="H521" s="72"/>
      <c r="I521" s="72"/>
      <c r="J521" s="72"/>
    </row>
    <row r="522" spans="1:10" ht="15" x14ac:dyDescent="0.2">
      <c r="A522" s="72"/>
      <c r="B522" s="72"/>
      <c r="C522" s="72"/>
      <c r="D522" s="72"/>
      <c r="E522" s="72"/>
      <c r="F522" s="72"/>
      <c r="G522" s="72"/>
      <c r="H522" s="72"/>
      <c r="I522" s="72"/>
      <c r="J522" s="72"/>
    </row>
    <row r="523" spans="1:10" ht="15" x14ac:dyDescent="0.2">
      <c r="A523" s="72"/>
      <c r="B523" s="72"/>
      <c r="C523" s="72"/>
      <c r="D523" s="72"/>
      <c r="E523" s="72"/>
      <c r="F523" s="72"/>
      <c r="G523" s="72"/>
      <c r="H523" s="72"/>
      <c r="I523" s="72"/>
      <c r="J523" s="72"/>
    </row>
    <row r="524" spans="1:10" ht="15" x14ac:dyDescent="0.2">
      <c r="A524" s="72"/>
      <c r="B524" s="72"/>
      <c r="C524" s="72"/>
      <c r="D524" s="72"/>
      <c r="E524" s="72"/>
      <c r="F524" s="72"/>
      <c r="G524" s="72"/>
      <c r="H524" s="72"/>
      <c r="I524" s="72"/>
      <c r="J524" s="72"/>
    </row>
    <row r="525" spans="1:10" ht="15" x14ac:dyDescent="0.2">
      <c r="A525" s="72"/>
      <c r="B525" s="72"/>
      <c r="C525" s="72"/>
      <c r="D525" s="72"/>
      <c r="E525" s="72"/>
      <c r="F525" s="72"/>
      <c r="G525" s="72"/>
      <c r="H525" s="72"/>
      <c r="I525" s="72"/>
      <c r="J525" s="72"/>
    </row>
    <row r="526" spans="1:10" ht="15" x14ac:dyDescent="0.2">
      <c r="A526" s="72"/>
      <c r="B526" s="72"/>
      <c r="C526" s="72"/>
      <c r="D526" s="72"/>
      <c r="E526" s="72"/>
      <c r="F526" s="72"/>
      <c r="G526" s="72"/>
      <c r="H526" s="72"/>
      <c r="I526" s="72"/>
      <c r="J526" s="72"/>
    </row>
    <row r="527" spans="1:10" ht="15" x14ac:dyDescent="0.2">
      <c r="A527" s="72"/>
      <c r="B527" s="72"/>
      <c r="C527" s="72"/>
      <c r="D527" s="72"/>
      <c r="E527" s="72"/>
      <c r="F527" s="72"/>
      <c r="G527" s="72"/>
      <c r="H527" s="72"/>
      <c r="I527" s="72"/>
      <c r="J527" s="72"/>
    </row>
    <row r="528" spans="1:10" ht="15" x14ac:dyDescent="0.2">
      <c r="A528" s="72"/>
      <c r="B528" s="72"/>
      <c r="C528" s="72"/>
      <c r="D528" s="72"/>
      <c r="E528" s="72"/>
      <c r="F528" s="72"/>
      <c r="G528" s="72"/>
      <c r="H528" s="72"/>
      <c r="I528" s="72"/>
      <c r="J528" s="72"/>
    </row>
    <row r="529" spans="1:10" ht="15" x14ac:dyDescent="0.2">
      <c r="A529" s="72"/>
      <c r="B529" s="72"/>
      <c r="C529" s="72"/>
      <c r="D529" s="72"/>
      <c r="E529" s="72"/>
      <c r="F529" s="72"/>
      <c r="G529" s="72"/>
      <c r="H529" s="72"/>
      <c r="I529" s="72"/>
      <c r="J529" s="72"/>
    </row>
    <row r="530" spans="1:10" ht="15" x14ac:dyDescent="0.2">
      <c r="A530" s="72"/>
      <c r="B530" s="72"/>
      <c r="C530" s="72"/>
      <c r="D530" s="72"/>
      <c r="E530" s="72"/>
      <c r="F530" s="72"/>
      <c r="G530" s="72"/>
      <c r="H530" s="72"/>
      <c r="I530" s="72"/>
      <c r="J530" s="72"/>
    </row>
    <row r="531" spans="1:10" ht="15" x14ac:dyDescent="0.2">
      <c r="A531" s="72"/>
      <c r="B531" s="72"/>
      <c r="C531" s="72"/>
      <c r="D531" s="72"/>
      <c r="E531" s="72"/>
      <c r="F531" s="72"/>
      <c r="G531" s="72"/>
      <c r="H531" s="72"/>
      <c r="I531" s="72"/>
      <c r="J531" s="72"/>
    </row>
    <row r="532" spans="1:10" ht="15" x14ac:dyDescent="0.2">
      <c r="A532" s="72"/>
      <c r="B532" s="72"/>
      <c r="C532" s="72"/>
      <c r="D532" s="72"/>
      <c r="E532" s="72"/>
      <c r="F532" s="72"/>
      <c r="G532" s="72"/>
      <c r="H532" s="72"/>
      <c r="I532" s="72"/>
      <c r="J532" s="72"/>
    </row>
    <row r="533" spans="1:10" ht="15" x14ac:dyDescent="0.2">
      <c r="A533" s="72"/>
      <c r="B533" s="72"/>
      <c r="C533" s="72"/>
      <c r="D533" s="72"/>
      <c r="E533" s="72"/>
      <c r="F533" s="72"/>
      <c r="G533" s="72"/>
      <c r="H533" s="72"/>
      <c r="I533" s="72"/>
      <c r="J533" s="72"/>
    </row>
    <row r="534" spans="1:10" ht="15" x14ac:dyDescent="0.2">
      <c r="A534" s="72"/>
      <c r="B534" s="72"/>
      <c r="C534" s="72"/>
      <c r="D534" s="72"/>
      <c r="E534" s="72"/>
      <c r="F534" s="72"/>
      <c r="G534" s="72"/>
      <c r="H534" s="72"/>
      <c r="I534" s="72"/>
      <c r="J534" s="72"/>
    </row>
    <row r="535" spans="1:10" ht="15" x14ac:dyDescent="0.2">
      <c r="A535" s="72"/>
      <c r="B535" s="72"/>
      <c r="C535" s="72"/>
      <c r="D535" s="72"/>
      <c r="E535" s="72"/>
      <c r="F535" s="72"/>
      <c r="G535" s="72"/>
      <c r="H535" s="72"/>
      <c r="I535" s="72"/>
      <c r="J535" s="72"/>
    </row>
    <row r="536" spans="1:10" ht="15" x14ac:dyDescent="0.2">
      <c r="A536" s="72"/>
      <c r="B536" s="72"/>
      <c r="C536" s="72"/>
      <c r="D536" s="72"/>
      <c r="E536" s="72"/>
      <c r="F536" s="72"/>
      <c r="G536" s="72"/>
      <c r="H536" s="72"/>
      <c r="I536" s="72"/>
      <c r="J536" s="72"/>
    </row>
    <row r="537" spans="1:10" ht="15" x14ac:dyDescent="0.2">
      <c r="A537" s="72"/>
      <c r="B537" s="72"/>
      <c r="C537" s="72"/>
      <c r="D537" s="72"/>
      <c r="E537" s="72"/>
      <c r="F537" s="72"/>
      <c r="G537" s="72"/>
      <c r="H537" s="72"/>
      <c r="I537" s="72"/>
      <c r="J537" s="72"/>
    </row>
    <row r="538" spans="1:10" ht="15" x14ac:dyDescent="0.2">
      <c r="A538" s="72"/>
      <c r="B538" s="72"/>
      <c r="C538" s="72"/>
      <c r="D538" s="72"/>
      <c r="E538" s="72"/>
      <c r="F538" s="72"/>
      <c r="G538" s="72"/>
      <c r="H538" s="72"/>
      <c r="I538" s="72"/>
      <c r="J538" s="72"/>
    </row>
    <row r="539" spans="1:10" ht="15" x14ac:dyDescent="0.2">
      <c r="A539" s="72"/>
      <c r="B539" s="72"/>
      <c r="C539" s="72"/>
      <c r="D539" s="72"/>
      <c r="E539" s="72"/>
      <c r="F539" s="72"/>
      <c r="G539" s="72"/>
      <c r="H539" s="72"/>
      <c r="I539" s="72"/>
      <c r="J539" s="72"/>
    </row>
    <row r="540" spans="1:10" ht="15" x14ac:dyDescent="0.2">
      <c r="A540" s="72"/>
      <c r="B540" s="72"/>
      <c r="C540" s="72"/>
      <c r="D540" s="72"/>
      <c r="E540" s="72"/>
      <c r="F540" s="72"/>
      <c r="G540" s="72"/>
      <c r="H540" s="72"/>
      <c r="I540" s="72"/>
      <c r="J540" s="72"/>
    </row>
    <row r="541" spans="1:10" ht="15" x14ac:dyDescent="0.2">
      <c r="A541" s="72"/>
      <c r="B541" s="72"/>
      <c r="C541" s="72"/>
      <c r="D541" s="72"/>
      <c r="E541" s="72"/>
      <c r="F541" s="72"/>
      <c r="G541" s="72"/>
      <c r="H541" s="72"/>
      <c r="I541" s="72"/>
      <c r="J541" s="72"/>
    </row>
    <row r="542" spans="1:10" ht="15" x14ac:dyDescent="0.2">
      <c r="A542" s="72"/>
      <c r="B542" s="72"/>
      <c r="C542" s="72"/>
      <c r="D542" s="72"/>
      <c r="E542" s="72"/>
      <c r="F542" s="72"/>
      <c r="G542" s="72"/>
      <c r="H542" s="72"/>
      <c r="I542" s="72"/>
      <c r="J542" s="72"/>
    </row>
    <row r="543" spans="1:10" ht="15" x14ac:dyDescent="0.2">
      <c r="A543" s="72"/>
      <c r="B543" s="72"/>
      <c r="C543" s="72"/>
      <c r="D543" s="72"/>
      <c r="E543" s="72"/>
      <c r="F543" s="72"/>
      <c r="G543" s="72"/>
      <c r="H543" s="72"/>
      <c r="I543" s="72"/>
      <c r="J543" s="72"/>
    </row>
    <row r="544" spans="1:10" ht="15" x14ac:dyDescent="0.2">
      <c r="A544" s="72"/>
      <c r="B544" s="72"/>
      <c r="C544" s="72"/>
      <c r="D544" s="72"/>
      <c r="E544" s="72"/>
      <c r="F544" s="72"/>
      <c r="G544" s="72"/>
      <c r="H544" s="72"/>
      <c r="I544" s="72"/>
      <c r="J544" s="72"/>
    </row>
    <row r="545" spans="1:10" ht="15" x14ac:dyDescent="0.2">
      <c r="A545" s="72"/>
      <c r="B545" s="72"/>
      <c r="C545" s="72"/>
      <c r="D545" s="72"/>
      <c r="E545" s="72"/>
      <c r="F545" s="72"/>
      <c r="G545" s="72"/>
      <c r="H545" s="72"/>
      <c r="I545" s="72"/>
      <c r="J545" s="72"/>
    </row>
    <row r="546" spans="1:10" ht="15" x14ac:dyDescent="0.2">
      <c r="A546" s="72"/>
      <c r="B546" s="72"/>
      <c r="C546" s="72"/>
      <c r="D546" s="72"/>
      <c r="E546" s="72"/>
      <c r="F546" s="72"/>
      <c r="G546" s="72"/>
      <c r="H546" s="72"/>
      <c r="I546" s="72"/>
      <c r="J546" s="72"/>
    </row>
    <row r="547" spans="1:10" ht="15" x14ac:dyDescent="0.2">
      <c r="A547" s="72"/>
      <c r="B547" s="72"/>
      <c r="C547" s="72"/>
      <c r="D547" s="72"/>
      <c r="E547" s="72"/>
      <c r="F547" s="72"/>
      <c r="G547" s="72"/>
      <c r="H547" s="72"/>
      <c r="I547" s="72"/>
      <c r="J547" s="72"/>
    </row>
    <row r="548" spans="1:10" ht="15" x14ac:dyDescent="0.2">
      <c r="A548" s="72"/>
      <c r="B548" s="72"/>
      <c r="C548" s="72"/>
      <c r="D548" s="72"/>
      <c r="E548" s="72"/>
      <c r="F548" s="72"/>
      <c r="G548" s="72"/>
      <c r="H548" s="72"/>
      <c r="I548" s="72"/>
      <c r="J548" s="72"/>
    </row>
    <row r="549" spans="1:10" ht="15" x14ac:dyDescent="0.2">
      <c r="A549" s="72"/>
      <c r="B549" s="72"/>
      <c r="C549" s="72"/>
      <c r="D549" s="72"/>
      <c r="E549" s="72"/>
      <c r="F549" s="72"/>
      <c r="G549" s="72"/>
      <c r="H549" s="72"/>
      <c r="I549" s="72"/>
      <c r="J549" s="72"/>
    </row>
    <row r="550" spans="1:10" ht="15" x14ac:dyDescent="0.2">
      <c r="A550" s="72"/>
      <c r="B550" s="72"/>
      <c r="C550" s="72"/>
      <c r="D550" s="72"/>
      <c r="E550" s="72"/>
      <c r="F550" s="72"/>
      <c r="G550" s="72"/>
      <c r="H550" s="72"/>
      <c r="I550" s="72"/>
      <c r="J550" s="72"/>
    </row>
    <row r="551" spans="1:10" ht="15" x14ac:dyDescent="0.2">
      <c r="A551" s="72"/>
      <c r="B551" s="72"/>
      <c r="C551" s="72"/>
      <c r="D551" s="72"/>
      <c r="E551" s="72"/>
      <c r="F551" s="72"/>
      <c r="G551" s="72"/>
      <c r="H551" s="72"/>
      <c r="I551" s="72"/>
      <c r="J551" s="72"/>
    </row>
    <row r="552" spans="1:10" ht="15" x14ac:dyDescent="0.2">
      <c r="A552" s="72"/>
      <c r="B552" s="72"/>
      <c r="C552" s="72"/>
      <c r="D552" s="72"/>
      <c r="E552" s="72"/>
      <c r="F552" s="72"/>
      <c r="G552" s="72"/>
      <c r="H552" s="72"/>
      <c r="I552" s="72"/>
      <c r="J552" s="72"/>
    </row>
    <row r="553" spans="1:10" ht="15" x14ac:dyDescent="0.2">
      <c r="A553" s="72"/>
      <c r="B553" s="72"/>
      <c r="C553" s="72"/>
      <c r="D553" s="72"/>
      <c r="E553" s="72"/>
      <c r="F553" s="72"/>
      <c r="G553" s="72"/>
      <c r="H553" s="72"/>
      <c r="I553" s="72"/>
      <c r="J553" s="72"/>
    </row>
    <row r="554" spans="1:10" ht="15" x14ac:dyDescent="0.2">
      <c r="A554" s="72"/>
      <c r="B554" s="72"/>
      <c r="C554" s="72"/>
      <c r="D554" s="72"/>
      <c r="E554" s="72"/>
      <c r="F554" s="72"/>
      <c r="G554" s="72"/>
      <c r="H554" s="72"/>
      <c r="I554" s="72"/>
      <c r="J554" s="72"/>
    </row>
    <row r="555" spans="1:10" ht="15" x14ac:dyDescent="0.2">
      <c r="A555" s="72"/>
      <c r="B555" s="72"/>
      <c r="C555" s="72"/>
      <c r="D555" s="72"/>
      <c r="E555" s="72"/>
      <c r="F555" s="72"/>
      <c r="G555" s="72"/>
      <c r="H555" s="72"/>
      <c r="I555" s="72"/>
      <c r="J555" s="72"/>
    </row>
    <row r="556" spans="1:10" ht="15" x14ac:dyDescent="0.2">
      <c r="A556" s="72"/>
      <c r="B556" s="72"/>
      <c r="C556" s="72"/>
      <c r="D556" s="72"/>
      <c r="E556" s="72"/>
      <c r="F556" s="72"/>
      <c r="G556" s="72"/>
      <c r="H556" s="72"/>
      <c r="I556" s="72"/>
      <c r="J556" s="72"/>
    </row>
    <row r="557" spans="1:10" ht="15" x14ac:dyDescent="0.2">
      <c r="A557" s="72"/>
      <c r="B557" s="72"/>
      <c r="C557" s="72"/>
      <c r="D557" s="72"/>
      <c r="E557" s="72"/>
      <c r="F557" s="72"/>
      <c r="G557" s="72"/>
      <c r="H557" s="72"/>
      <c r="I557" s="72"/>
      <c r="J557" s="72"/>
    </row>
    <row r="558" spans="1:10" ht="15" x14ac:dyDescent="0.2">
      <c r="A558" s="72"/>
      <c r="B558" s="72"/>
      <c r="C558" s="72"/>
      <c r="D558" s="72"/>
      <c r="E558" s="72"/>
      <c r="F558" s="72"/>
      <c r="G558" s="72"/>
      <c r="H558" s="72"/>
      <c r="I558" s="72"/>
      <c r="J558" s="72"/>
    </row>
    <row r="559" spans="1:10" ht="15" x14ac:dyDescent="0.2">
      <c r="A559" s="72"/>
      <c r="B559" s="72"/>
      <c r="C559" s="72"/>
      <c r="D559" s="72"/>
      <c r="E559" s="72"/>
      <c r="F559" s="72"/>
      <c r="G559" s="72"/>
      <c r="H559" s="72"/>
      <c r="I559" s="72"/>
      <c r="J559" s="72"/>
    </row>
    <row r="560" spans="1:10" ht="15" x14ac:dyDescent="0.2">
      <c r="A560" s="72"/>
      <c r="B560" s="72"/>
      <c r="C560" s="72"/>
      <c r="D560" s="72"/>
      <c r="E560" s="72"/>
      <c r="F560" s="72"/>
      <c r="G560" s="72"/>
      <c r="H560" s="72"/>
      <c r="I560" s="72"/>
      <c r="J560" s="72"/>
    </row>
    <row r="561" spans="1:10" ht="15" x14ac:dyDescent="0.2">
      <c r="A561" s="72"/>
      <c r="B561" s="72"/>
      <c r="C561" s="72"/>
      <c r="D561" s="72"/>
      <c r="E561" s="72"/>
      <c r="F561" s="72"/>
      <c r="G561" s="72"/>
      <c r="H561" s="72"/>
      <c r="I561" s="72"/>
      <c r="J561" s="72"/>
    </row>
    <row r="562" spans="1:10" ht="15" x14ac:dyDescent="0.2">
      <c r="A562" s="72"/>
      <c r="B562" s="72"/>
      <c r="C562" s="72"/>
      <c r="D562" s="72"/>
      <c r="E562" s="72"/>
      <c r="F562" s="72"/>
      <c r="G562" s="72"/>
      <c r="H562" s="72"/>
      <c r="I562" s="72"/>
      <c r="J562" s="72"/>
    </row>
    <row r="563" spans="1:10" ht="15" x14ac:dyDescent="0.2">
      <c r="A563" s="72"/>
      <c r="B563" s="72"/>
      <c r="C563" s="72"/>
      <c r="D563" s="72"/>
      <c r="E563" s="72"/>
      <c r="F563" s="72"/>
      <c r="G563" s="72"/>
      <c r="H563" s="72"/>
      <c r="I563" s="72"/>
      <c r="J563" s="72"/>
    </row>
    <row r="564" spans="1:10" ht="15" x14ac:dyDescent="0.2">
      <c r="A564" s="72"/>
      <c r="B564" s="72"/>
      <c r="C564" s="72"/>
      <c r="D564" s="72"/>
      <c r="E564" s="72"/>
      <c r="F564" s="72"/>
      <c r="G564" s="72"/>
      <c r="H564" s="72"/>
      <c r="I564" s="72"/>
      <c r="J564" s="72"/>
    </row>
    <row r="565" spans="1:10" ht="15" x14ac:dyDescent="0.2">
      <c r="A565" s="72"/>
      <c r="B565" s="72"/>
      <c r="C565" s="72"/>
      <c r="D565" s="72"/>
      <c r="E565" s="72"/>
      <c r="F565" s="72"/>
      <c r="G565" s="72"/>
      <c r="H565" s="72"/>
      <c r="I565" s="72"/>
      <c r="J565" s="72"/>
    </row>
    <row r="566" spans="1:10" ht="15" x14ac:dyDescent="0.2">
      <c r="A566" s="72"/>
      <c r="B566" s="72"/>
      <c r="C566" s="72"/>
      <c r="D566" s="72"/>
      <c r="E566" s="72"/>
      <c r="F566" s="72"/>
      <c r="G566" s="72"/>
      <c r="H566" s="72"/>
      <c r="I566" s="72"/>
      <c r="J566" s="72"/>
    </row>
    <row r="567" spans="1:10" ht="15" x14ac:dyDescent="0.2">
      <c r="A567" s="72"/>
      <c r="B567" s="72"/>
      <c r="C567" s="72"/>
      <c r="D567" s="72"/>
      <c r="E567" s="72"/>
      <c r="F567" s="72"/>
      <c r="G567" s="72"/>
      <c r="H567" s="72"/>
      <c r="I567" s="72"/>
      <c r="J567" s="72"/>
    </row>
    <row r="568" spans="1:10" ht="15" x14ac:dyDescent="0.2">
      <c r="A568" s="72"/>
      <c r="B568" s="72"/>
      <c r="C568" s="72"/>
      <c r="D568" s="72"/>
      <c r="E568" s="72"/>
      <c r="F568" s="72"/>
      <c r="G568" s="72"/>
      <c r="H568" s="72"/>
      <c r="I568" s="72"/>
      <c r="J568" s="72"/>
    </row>
    <row r="569" spans="1:10" ht="15" x14ac:dyDescent="0.2">
      <c r="A569" s="72"/>
      <c r="B569" s="72"/>
      <c r="C569" s="72"/>
      <c r="D569" s="72"/>
      <c r="E569" s="72"/>
      <c r="F569" s="72"/>
      <c r="G569" s="72"/>
      <c r="H569" s="72"/>
      <c r="I569" s="72"/>
      <c r="J569" s="72"/>
    </row>
    <row r="570" spans="1:10" ht="15" x14ac:dyDescent="0.2">
      <c r="A570" s="72"/>
      <c r="B570" s="72"/>
      <c r="C570" s="72"/>
      <c r="D570" s="72"/>
      <c r="E570" s="72"/>
      <c r="F570" s="72"/>
      <c r="G570" s="72"/>
      <c r="H570" s="72"/>
      <c r="I570" s="72"/>
      <c r="J570" s="72"/>
    </row>
    <row r="571" spans="1:10" ht="15" x14ac:dyDescent="0.2">
      <c r="A571" s="72"/>
      <c r="B571" s="72"/>
      <c r="C571" s="72"/>
      <c r="D571" s="72"/>
      <c r="E571" s="72"/>
      <c r="F571" s="72"/>
      <c r="G571" s="72"/>
      <c r="H571" s="72"/>
      <c r="I571" s="72"/>
      <c r="J571" s="72"/>
    </row>
    <row r="572" spans="1:10" ht="15" x14ac:dyDescent="0.2">
      <c r="A572" s="72"/>
      <c r="B572" s="72"/>
      <c r="C572" s="72"/>
      <c r="D572" s="72"/>
      <c r="E572" s="72"/>
      <c r="F572" s="72"/>
      <c r="G572" s="72"/>
      <c r="H572" s="72"/>
      <c r="I572" s="72"/>
      <c r="J572" s="72"/>
    </row>
    <row r="573" spans="1:10" ht="15" x14ac:dyDescent="0.2">
      <c r="A573" s="72"/>
      <c r="B573" s="72"/>
      <c r="C573" s="72"/>
      <c r="D573" s="72"/>
      <c r="E573" s="72"/>
      <c r="F573" s="72"/>
      <c r="G573" s="72"/>
      <c r="H573" s="72"/>
      <c r="I573" s="72"/>
      <c r="J573" s="72"/>
    </row>
    <row r="574" spans="1:10" ht="15" x14ac:dyDescent="0.2">
      <c r="A574" s="72"/>
      <c r="B574" s="72"/>
      <c r="C574" s="72"/>
      <c r="D574" s="72"/>
      <c r="E574" s="72"/>
      <c r="F574" s="72"/>
      <c r="G574" s="72"/>
      <c r="H574" s="72"/>
      <c r="I574" s="72"/>
      <c r="J574" s="72"/>
    </row>
    <row r="575" spans="1:10" ht="15" x14ac:dyDescent="0.2">
      <c r="A575" s="72"/>
      <c r="B575" s="72"/>
      <c r="C575" s="72"/>
      <c r="D575" s="72"/>
      <c r="E575" s="72"/>
      <c r="F575" s="72"/>
      <c r="G575" s="72"/>
      <c r="H575" s="72"/>
      <c r="I575" s="72"/>
      <c r="J575" s="72"/>
    </row>
    <row r="576" spans="1:10" ht="15" x14ac:dyDescent="0.2">
      <c r="A576" s="72"/>
      <c r="B576" s="72"/>
      <c r="C576" s="72"/>
      <c r="D576" s="72"/>
      <c r="E576" s="72"/>
      <c r="F576" s="72"/>
      <c r="G576" s="72"/>
      <c r="H576" s="72"/>
      <c r="I576" s="72"/>
      <c r="J576" s="72"/>
    </row>
    <row r="577" spans="1:10" ht="15" x14ac:dyDescent="0.2">
      <c r="A577" s="72"/>
      <c r="B577" s="72"/>
      <c r="C577" s="72"/>
      <c r="D577" s="72"/>
      <c r="E577" s="72"/>
      <c r="F577" s="72"/>
      <c r="G577" s="72"/>
      <c r="H577" s="72"/>
      <c r="I577" s="72"/>
      <c r="J577" s="72"/>
    </row>
    <row r="578" spans="1:10" ht="15" x14ac:dyDescent="0.2">
      <c r="A578" s="72"/>
      <c r="B578" s="72"/>
      <c r="C578" s="72"/>
      <c r="D578" s="72"/>
      <c r="E578" s="72"/>
      <c r="F578" s="72"/>
      <c r="G578" s="72"/>
      <c r="H578" s="72"/>
      <c r="I578" s="72"/>
      <c r="J578" s="72"/>
    </row>
    <row r="579" spans="1:10" ht="15" x14ac:dyDescent="0.2">
      <c r="A579" s="72"/>
      <c r="B579" s="72"/>
      <c r="C579" s="72"/>
      <c r="D579" s="72"/>
      <c r="E579" s="72"/>
      <c r="F579" s="72"/>
      <c r="G579" s="72"/>
      <c r="H579" s="72"/>
      <c r="I579" s="72"/>
      <c r="J579" s="72"/>
    </row>
    <row r="580" spans="1:10" ht="15" x14ac:dyDescent="0.2">
      <c r="A580" s="72"/>
      <c r="B580" s="72"/>
      <c r="C580" s="72"/>
      <c r="D580" s="72"/>
      <c r="E580" s="72"/>
      <c r="F580" s="72"/>
      <c r="G580" s="72"/>
      <c r="H580" s="72"/>
      <c r="I580" s="72"/>
      <c r="J580" s="72"/>
    </row>
    <row r="581" spans="1:10" ht="15" x14ac:dyDescent="0.2">
      <c r="A581" s="72"/>
      <c r="B581" s="72"/>
      <c r="C581" s="72"/>
      <c r="D581" s="72"/>
      <c r="E581" s="72"/>
      <c r="F581" s="72"/>
      <c r="G581" s="72"/>
      <c r="H581" s="72"/>
      <c r="I581" s="72"/>
      <c r="J581" s="72"/>
    </row>
    <row r="582" spans="1:10" ht="15" x14ac:dyDescent="0.2">
      <c r="A582" s="72"/>
      <c r="B582" s="72"/>
      <c r="C582" s="72"/>
      <c r="D582" s="72"/>
      <c r="E582" s="72"/>
      <c r="F582" s="72"/>
      <c r="G582" s="72"/>
      <c r="H582" s="72"/>
      <c r="I582" s="72"/>
      <c r="J582" s="72"/>
    </row>
    <row r="583" spans="1:10" ht="15" x14ac:dyDescent="0.2">
      <c r="A583" s="72"/>
      <c r="B583" s="72"/>
      <c r="C583" s="72"/>
      <c r="D583" s="72"/>
      <c r="E583" s="72"/>
      <c r="F583" s="72"/>
      <c r="G583" s="72"/>
      <c r="H583" s="72"/>
      <c r="I583" s="72"/>
      <c r="J583" s="72"/>
    </row>
    <row r="584" spans="1:10" ht="15" x14ac:dyDescent="0.2">
      <c r="A584" s="72"/>
      <c r="B584" s="72"/>
      <c r="C584" s="72"/>
      <c r="D584" s="72"/>
      <c r="E584" s="72"/>
      <c r="F584" s="72"/>
      <c r="G584" s="72"/>
      <c r="H584" s="72"/>
      <c r="I584" s="72"/>
      <c r="J584" s="72"/>
    </row>
    <row r="585" spans="1:10" ht="15" x14ac:dyDescent="0.2">
      <c r="A585" s="72"/>
      <c r="B585" s="72"/>
      <c r="C585" s="72"/>
      <c r="D585" s="72"/>
      <c r="E585" s="72"/>
      <c r="F585" s="72"/>
      <c r="G585" s="72"/>
      <c r="H585" s="72"/>
      <c r="I585" s="72"/>
      <c r="J585" s="72"/>
    </row>
    <row r="586" spans="1:10" ht="15" x14ac:dyDescent="0.2">
      <c r="A586" s="72"/>
      <c r="B586" s="72"/>
      <c r="C586" s="72"/>
      <c r="D586" s="72"/>
      <c r="E586" s="72"/>
      <c r="F586" s="72"/>
      <c r="G586" s="72"/>
      <c r="H586" s="72"/>
      <c r="I586" s="72"/>
      <c r="J586" s="72"/>
    </row>
    <row r="587" spans="1:10" ht="15" x14ac:dyDescent="0.2">
      <c r="A587" s="72"/>
      <c r="B587" s="72"/>
      <c r="C587" s="72"/>
      <c r="D587" s="72"/>
      <c r="E587" s="72"/>
      <c r="F587" s="72"/>
      <c r="G587" s="72"/>
      <c r="H587" s="72"/>
      <c r="I587" s="72"/>
      <c r="J587" s="72"/>
    </row>
    <row r="588" spans="1:10" ht="15" x14ac:dyDescent="0.2">
      <c r="A588" s="72"/>
      <c r="B588" s="72"/>
      <c r="C588" s="72"/>
      <c r="D588" s="72"/>
      <c r="E588" s="72"/>
      <c r="F588" s="72"/>
      <c r="G588" s="72"/>
      <c r="H588" s="72"/>
      <c r="I588" s="72"/>
      <c r="J588" s="72"/>
    </row>
    <row r="589" spans="1:10" ht="15" x14ac:dyDescent="0.2">
      <c r="A589" s="72"/>
      <c r="B589" s="72"/>
      <c r="C589" s="72"/>
      <c r="D589" s="72"/>
      <c r="E589" s="72"/>
      <c r="F589" s="72"/>
      <c r="G589" s="72"/>
      <c r="H589" s="72"/>
      <c r="I589" s="72"/>
      <c r="J589" s="72"/>
    </row>
    <row r="590" spans="1:10" ht="15" x14ac:dyDescent="0.2">
      <c r="A590" s="72"/>
      <c r="B590" s="72"/>
      <c r="C590" s="72"/>
      <c r="D590" s="72"/>
      <c r="E590" s="72"/>
      <c r="F590" s="72"/>
      <c r="G590" s="72"/>
      <c r="H590" s="72"/>
      <c r="I590" s="72"/>
      <c r="J590" s="72"/>
    </row>
    <row r="591" spans="1:10" ht="15" x14ac:dyDescent="0.2">
      <c r="A591" s="72"/>
      <c r="B591" s="72"/>
      <c r="C591" s="72"/>
      <c r="D591" s="72"/>
      <c r="E591" s="72"/>
      <c r="F591" s="72"/>
      <c r="G591" s="72"/>
      <c r="H591" s="72"/>
      <c r="I591" s="72"/>
      <c r="J591" s="72"/>
    </row>
    <row r="592" spans="1:10" ht="15" x14ac:dyDescent="0.2">
      <c r="A592" s="72"/>
      <c r="B592" s="72"/>
      <c r="C592" s="72"/>
      <c r="D592" s="72"/>
      <c r="E592" s="72"/>
      <c r="F592" s="72"/>
      <c r="G592" s="72"/>
      <c r="H592" s="72"/>
      <c r="I592" s="72"/>
      <c r="J592" s="72"/>
    </row>
    <row r="593" spans="1:10" ht="15" x14ac:dyDescent="0.2">
      <c r="A593" s="72"/>
      <c r="B593" s="72"/>
      <c r="C593" s="72"/>
      <c r="D593" s="72"/>
      <c r="E593" s="72"/>
      <c r="F593" s="72"/>
      <c r="G593" s="72"/>
      <c r="H593" s="72"/>
      <c r="I593" s="72"/>
      <c r="J593" s="72"/>
    </row>
    <row r="594" spans="1:10" ht="15" x14ac:dyDescent="0.2">
      <c r="A594" s="72"/>
      <c r="B594" s="72"/>
      <c r="C594" s="72"/>
      <c r="D594" s="72"/>
      <c r="E594" s="72"/>
      <c r="F594" s="72"/>
      <c r="G594" s="72"/>
      <c r="H594" s="72"/>
      <c r="I594" s="72"/>
      <c r="J594" s="72"/>
    </row>
    <row r="595" spans="1:10" ht="15" x14ac:dyDescent="0.2">
      <c r="A595" s="72"/>
      <c r="B595" s="72"/>
      <c r="C595" s="72"/>
      <c r="D595" s="72"/>
      <c r="E595" s="72"/>
      <c r="F595" s="72"/>
      <c r="G595" s="72"/>
      <c r="H595" s="72"/>
      <c r="I595" s="72"/>
      <c r="J595" s="72"/>
    </row>
    <row r="596" spans="1:10" ht="15" x14ac:dyDescent="0.2">
      <c r="A596" s="72"/>
      <c r="B596" s="72"/>
      <c r="C596" s="72"/>
      <c r="D596" s="72"/>
      <c r="E596" s="72"/>
      <c r="F596" s="72"/>
      <c r="G596" s="72"/>
      <c r="H596" s="72"/>
      <c r="I596" s="72"/>
      <c r="J596" s="72"/>
    </row>
    <row r="597" spans="1:10" ht="15" x14ac:dyDescent="0.2">
      <c r="A597" s="72"/>
      <c r="B597" s="72"/>
      <c r="C597" s="72"/>
      <c r="D597" s="72"/>
      <c r="E597" s="72"/>
      <c r="F597" s="72"/>
      <c r="G597" s="72"/>
      <c r="H597" s="72"/>
      <c r="I597" s="72"/>
      <c r="J597" s="72"/>
    </row>
    <row r="598" spans="1:10" ht="15" x14ac:dyDescent="0.2">
      <c r="A598" s="72"/>
      <c r="B598" s="72"/>
      <c r="C598" s="72"/>
      <c r="D598" s="72"/>
      <c r="E598" s="72"/>
      <c r="F598" s="72"/>
      <c r="G598" s="72"/>
      <c r="H598" s="72"/>
      <c r="I598" s="72"/>
      <c r="J598" s="72"/>
    </row>
    <row r="599" spans="1:10" ht="15" x14ac:dyDescent="0.2">
      <c r="A599" s="72"/>
      <c r="B599" s="72"/>
      <c r="C599" s="72"/>
      <c r="D599" s="72"/>
      <c r="E599" s="72"/>
      <c r="F599" s="72"/>
      <c r="G599" s="72"/>
      <c r="H599" s="72"/>
      <c r="I599" s="72"/>
      <c r="J599" s="72"/>
    </row>
    <row r="600" spans="1:10" ht="15" x14ac:dyDescent="0.2">
      <c r="A600" s="72"/>
      <c r="B600" s="72"/>
      <c r="C600" s="72"/>
      <c r="D600" s="72"/>
      <c r="E600" s="72"/>
      <c r="F600" s="72"/>
      <c r="G600" s="72"/>
      <c r="H600" s="72"/>
      <c r="I600" s="72"/>
      <c r="J600" s="72"/>
    </row>
    <row r="601" spans="1:10" ht="15" x14ac:dyDescent="0.2">
      <c r="A601" s="72"/>
      <c r="B601" s="72"/>
      <c r="C601" s="72"/>
      <c r="D601" s="72"/>
      <c r="E601" s="72"/>
      <c r="F601" s="72"/>
      <c r="G601" s="72"/>
      <c r="H601" s="72"/>
      <c r="I601" s="72"/>
      <c r="J601" s="72"/>
    </row>
    <row r="602" spans="1:10" ht="15" x14ac:dyDescent="0.2">
      <c r="A602" s="72"/>
      <c r="B602" s="72"/>
      <c r="C602" s="72"/>
      <c r="D602" s="72"/>
      <c r="E602" s="72"/>
      <c r="F602" s="72"/>
      <c r="G602" s="72"/>
      <c r="H602" s="72"/>
      <c r="I602" s="72"/>
      <c r="J602" s="72"/>
    </row>
    <row r="603" spans="1:10" ht="15" x14ac:dyDescent="0.2">
      <c r="A603" s="72"/>
      <c r="B603" s="72"/>
      <c r="C603" s="72"/>
      <c r="D603" s="72"/>
      <c r="E603" s="72"/>
      <c r="F603" s="72"/>
      <c r="G603" s="72"/>
      <c r="H603" s="72"/>
      <c r="I603" s="72"/>
      <c r="J603" s="72"/>
    </row>
    <row r="604" spans="1:10" ht="15" x14ac:dyDescent="0.2">
      <c r="A604" s="72"/>
      <c r="B604" s="72"/>
      <c r="C604" s="72"/>
      <c r="D604" s="72"/>
      <c r="E604" s="72"/>
      <c r="F604" s="72"/>
      <c r="G604" s="72"/>
      <c r="H604" s="72"/>
      <c r="I604" s="72"/>
      <c r="J604" s="72"/>
    </row>
    <row r="605" spans="1:10" ht="15" x14ac:dyDescent="0.2">
      <c r="A605" s="72"/>
      <c r="B605" s="72"/>
      <c r="C605" s="72"/>
      <c r="D605" s="72"/>
      <c r="E605" s="72"/>
      <c r="F605" s="72"/>
      <c r="G605" s="72"/>
      <c r="H605" s="72"/>
      <c r="I605" s="72"/>
      <c r="J605" s="72"/>
    </row>
    <row r="606" spans="1:10" ht="15" x14ac:dyDescent="0.2">
      <c r="A606" s="72"/>
      <c r="B606" s="72"/>
      <c r="C606" s="72"/>
      <c r="D606" s="72"/>
      <c r="E606" s="72"/>
      <c r="F606" s="72"/>
      <c r="G606" s="72"/>
      <c r="H606" s="72"/>
      <c r="I606" s="72"/>
      <c r="J606" s="72"/>
    </row>
    <row r="607" spans="1:10" ht="15" x14ac:dyDescent="0.2">
      <c r="A607" s="72"/>
      <c r="B607" s="72"/>
      <c r="C607" s="72"/>
      <c r="D607" s="72"/>
      <c r="E607" s="72"/>
      <c r="F607" s="72"/>
      <c r="G607" s="72"/>
      <c r="H607" s="72"/>
      <c r="I607" s="72"/>
      <c r="J607" s="72"/>
    </row>
    <row r="608" spans="1:10" ht="15" x14ac:dyDescent="0.2">
      <c r="A608" s="72"/>
      <c r="B608" s="72"/>
      <c r="C608" s="72"/>
      <c r="D608" s="72"/>
      <c r="E608" s="72"/>
      <c r="F608" s="72"/>
      <c r="G608" s="72"/>
      <c r="H608" s="72"/>
      <c r="I608" s="72"/>
      <c r="J608" s="72"/>
    </row>
    <row r="609" spans="1:10" ht="15" x14ac:dyDescent="0.2">
      <c r="A609" s="72"/>
      <c r="B609" s="72"/>
      <c r="C609" s="72"/>
      <c r="D609" s="72"/>
      <c r="E609" s="72"/>
      <c r="F609" s="72"/>
      <c r="G609" s="72"/>
      <c r="H609" s="72"/>
      <c r="I609" s="72"/>
      <c r="J609" s="72"/>
    </row>
    <row r="610" spans="1:10" ht="15" x14ac:dyDescent="0.2">
      <c r="A610" s="72"/>
      <c r="B610" s="72"/>
      <c r="C610" s="72"/>
      <c r="D610" s="72"/>
      <c r="E610" s="72"/>
      <c r="F610" s="72"/>
      <c r="G610" s="72"/>
      <c r="H610" s="72"/>
      <c r="I610" s="72"/>
      <c r="J610" s="72"/>
    </row>
    <row r="611" spans="1:10" ht="15" x14ac:dyDescent="0.2">
      <c r="A611" s="72"/>
      <c r="B611" s="72"/>
      <c r="C611" s="72"/>
      <c r="D611" s="72"/>
      <c r="E611" s="72"/>
      <c r="F611" s="72"/>
      <c r="G611" s="72"/>
      <c r="H611" s="72"/>
      <c r="I611" s="72"/>
      <c r="J611" s="72"/>
    </row>
    <row r="612" spans="1:10" ht="15" x14ac:dyDescent="0.2">
      <c r="A612" s="72"/>
      <c r="B612" s="72"/>
      <c r="C612" s="72"/>
      <c r="D612" s="72"/>
      <c r="E612" s="72"/>
      <c r="F612" s="72"/>
      <c r="G612" s="72"/>
      <c r="H612" s="72"/>
      <c r="I612" s="72"/>
      <c r="J612" s="72"/>
    </row>
    <row r="613" spans="1:10" ht="15" x14ac:dyDescent="0.2">
      <c r="A613" s="72"/>
      <c r="B613" s="72"/>
      <c r="C613" s="72"/>
      <c r="D613" s="72"/>
      <c r="E613" s="72"/>
      <c r="F613" s="72"/>
      <c r="G613" s="72"/>
      <c r="H613" s="72"/>
      <c r="I613" s="72"/>
      <c r="J613" s="72"/>
    </row>
    <row r="614" spans="1:10" ht="15" x14ac:dyDescent="0.2">
      <c r="A614" s="72"/>
      <c r="B614" s="72"/>
      <c r="C614" s="72"/>
      <c r="D614" s="72"/>
      <c r="E614" s="72"/>
      <c r="F614" s="72"/>
      <c r="G614" s="72"/>
      <c r="H614" s="72"/>
      <c r="I614" s="72"/>
      <c r="J614" s="72"/>
    </row>
    <row r="615" spans="1:10" ht="15" x14ac:dyDescent="0.2">
      <c r="A615" s="72"/>
      <c r="B615" s="72"/>
      <c r="C615" s="72"/>
      <c r="D615" s="72"/>
      <c r="E615" s="72"/>
      <c r="F615" s="72"/>
      <c r="G615" s="72"/>
      <c r="H615" s="72"/>
      <c r="I615" s="72"/>
      <c r="J615" s="72"/>
    </row>
    <row r="616" spans="1:10" ht="15" x14ac:dyDescent="0.2">
      <c r="A616" s="72"/>
      <c r="B616" s="72"/>
      <c r="C616" s="72"/>
      <c r="D616" s="72"/>
      <c r="E616" s="72"/>
      <c r="F616" s="72"/>
      <c r="G616" s="72"/>
      <c r="H616" s="72"/>
      <c r="I616" s="72"/>
      <c r="J616" s="72"/>
    </row>
    <row r="617" spans="1:10" ht="15" x14ac:dyDescent="0.2">
      <c r="A617" s="72"/>
      <c r="B617" s="72"/>
      <c r="C617" s="72"/>
      <c r="D617" s="72"/>
      <c r="E617" s="72"/>
      <c r="F617" s="72"/>
      <c r="G617" s="72"/>
      <c r="H617" s="72"/>
      <c r="I617" s="72"/>
      <c r="J617" s="72"/>
    </row>
    <row r="618" spans="1:10" ht="15" x14ac:dyDescent="0.2">
      <c r="A618" s="72"/>
      <c r="B618" s="72"/>
      <c r="C618" s="72"/>
      <c r="D618" s="72"/>
      <c r="E618" s="72"/>
      <c r="F618" s="72"/>
      <c r="G618" s="72"/>
      <c r="H618" s="72"/>
      <c r="I618" s="72"/>
      <c r="J618" s="72"/>
    </row>
    <row r="619" spans="1:10" ht="15" x14ac:dyDescent="0.2">
      <c r="A619" s="72"/>
      <c r="B619" s="72"/>
      <c r="C619" s="72"/>
      <c r="D619" s="72"/>
      <c r="E619" s="72"/>
      <c r="F619" s="72"/>
      <c r="G619" s="72"/>
      <c r="H619" s="72"/>
      <c r="I619" s="72"/>
      <c r="J619" s="72"/>
    </row>
    <row r="620" spans="1:10" ht="15" x14ac:dyDescent="0.2">
      <c r="A620" s="72"/>
      <c r="B620" s="72"/>
      <c r="C620" s="72"/>
      <c r="D620" s="72"/>
      <c r="E620" s="72"/>
      <c r="F620" s="72"/>
      <c r="G620" s="72"/>
      <c r="H620" s="72"/>
      <c r="I620" s="72"/>
      <c r="J620" s="72"/>
    </row>
    <row r="621" spans="1:10" ht="15" x14ac:dyDescent="0.2">
      <c r="A621" s="72"/>
      <c r="B621" s="72"/>
      <c r="C621" s="72"/>
      <c r="D621" s="72"/>
      <c r="E621" s="72"/>
      <c r="F621" s="72"/>
      <c r="G621" s="72"/>
      <c r="H621" s="72"/>
      <c r="I621" s="72"/>
      <c r="J621" s="72"/>
    </row>
    <row r="622" spans="1:10" ht="15" x14ac:dyDescent="0.2">
      <c r="A622" s="72"/>
      <c r="B622" s="72"/>
      <c r="C622" s="72"/>
      <c r="D622" s="72"/>
      <c r="E622" s="72"/>
      <c r="F622" s="72"/>
      <c r="G622" s="72"/>
      <c r="H622" s="72"/>
      <c r="I622" s="72"/>
      <c r="J622" s="72"/>
    </row>
    <row r="623" spans="1:10" ht="15" x14ac:dyDescent="0.2">
      <c r="A623" s="72"/>
      <c r="B623" s="72"/>
      <c r="C623" s="72"/>
      <c r="D623" s="72"/>
      <c r="E623" s="72"/>
      <c r="F623" s="72"/>
      <c r="G623" s="72"/>
      <c r="H623" s="72"/>
      <c r="I623" s="72"/>
      <c r="J623" s="72"/>
    </row>
    <row r="624" spans="1:10" ht="15" x14ac:dyDescent="0.2">
      <c r="A624" s="72"/>
      <c r="B624" s="72"/>
      <c r="C624" s="72"/>
      <c r="D624" s="72"/>
      <c r="E624" s="72"/>
      <c r="F624" s="72"/>
      <c r="G624" s="72"/>
      <c r="H624" s="72"/>
      <c r="I624" s="72"/>
      <c r="J624" s="72"/>
    </row>
    <row r="625" spans="1:10" ht="15" x14ac:dyDescent="0.2">
      <c r="A625" s="72"/>
      <c r="B625" s="72"/>
      <c r="C625" s="72"/>
      <c r="D625" s="72"/>
      <c r="E625" s="72"/>
      <c r="F625" s="72"/>
      <c r="G625" s="72"/>
      <c r="H625" s="72"/>
      <c r="I625" s="72"/>
      <c r="J625" s="72"/>
    </row>
    <row r="626" spans="1:10" ht="15" x14ac:dyDescent="0.2">
      <c r="A626" s="72"/>
      <c r="B626" s="72"/>
      <c r="C626" s="72"/>
      <c r="D626" s="72"/>
      <c r="E626" s="72"/>
      <c r="F626" s="72"/>
      <c r="G626" s="72"/>
      <c r="H626" s="72"/>
      <c r="I626" s="72"/>
      <c r="J626" s="72"/>
    </row>
    <row r="627" spans="1:10" ht="15" x14ac:dyDescent="0.2">
      <c r="A627" s="72"/>
      <c r="B627" s="72"/>
      <c r="C627" s="72"/>
      <c r="D627" s="72"/>
      <c r="E627" s="72"/>
      <c r="F627" s="72"/>
      <c r="G627" s="72"/>
      <c r="H627" s="72"/>
      <c r="I627" s="72"/>
      <c r="J627" s="72"/>
    </row>
    <row r="628" spans="1:10" ht="15" x14ac:dyDescent="0.2">
      <c r="A628" s="72"/>
      <c r="B628" s="72"/>
      <c r="C628" s="72"/>
      <c r="D628" s="72"/>
      <c r="E628" s="72"/>
      <c r="F628" s="72"/>
      <c r="G628" s="72"/>
      <c r="H628" s="72"/>
      <c r="I628" s="72"/>
      <c r="J628" s="72"/>
    </row>
    <row r="629" spans="1:10" ht="15" x14ac:dyDescent="0.2">
      <c r="A629" s="72"/>
      <c r="B629" s="72"/>
      <c r="C629" s="72"/>
      <c r="D629" s="72"/>
      <c r="E629" s="72"/>
      <c r="F629" s="72"/>
      <c r="G629" s="72"/>
      <c r="H629" s="72"/>
      <c r="I629" s="72"/>
      <c r="J629" s="72"/>
    </row>
    <row r="630" spans="1:10" ht="15" x14ac:dyDescent="0.2">
      <c r="A630" s="72"/>
      <c r="B630" s="72"/>
      <c r="C630" s="72"/>
      <c r="D630" s="72"/>
      <c r="E630" s="72"/>
      <c r="F630" s="72"/>
      <c r="G630" s="72"/>
      <c r="H630" s="72"/>
      <c r="I630" s="72"/>
      <c r="J630" s="72"/>
    </row>
    <row r="631" spans="1:10" ht="15" x14ac:dyDescent="0.2">
      <c r="A631" s="72"/>
      <c r="B631" s="72"/>
      <c r="C631" s="72"/>
      <c r="D631" s="72"/>
      <c r="E631" s="72"/>
      <c r="F631" s="72"/>
      <c r="G631" s="72"/>
      <c r="H631" s="72"/>
      <c r="I631" s="72"/>
      <c r="J631" s="72"/>
    </row>
    <row r="632" spans="1:10" ht="15" x14ac:dyDescent="0.2">
      <c r="A632" s="72"/>
      <c r="B632" s="72"/>
      <c r="C632" s="72"/>
      <c r="D632" s="72"/>
      <c r="E632" s="72"/>
      <c r="F632" s="72"/>
      <c r="G632" s="72"/>
      <c r="H632" s="72"/>
      <c r="I632" s="72"/>
      <c r="J632" s="72"/>
    </row>
    <row r="633" spans="1:10" ht="15" x14ac:dyDescent="0.2">
      <c r="A633" s="72"/>
      <c r="B633" s="72"/>
      <c r="C633" s="72"/>
      <c r="D633" s="72"/>
      <c r="E633" s="72"/>
      <c r="F633" s="72"/>
      <c r="G633" s="72"/>
      <c r="H633" s="72"/>
      <c r="I633" s="72"/>
      <c r="J633" s="72"/>
    </row>
    <row r="634" spans="1:10" ht="15" x14ac:dyDescent="0.2">
      <c r="A634" s="72"/>
      <c r="B634" s="72"/>
      <c r="C634" s="72"/>
      <c r="D634" s="72"/>
      <c r="E634" s="72"/>
      <c r="F634" s="72"/>
      <c r="G634" s="72"/>
      <c r="H634" s="72"/>
      <c r="I634" s="72"/>
      <c r="J634" s="72"/>
    </row>
    <row r="635" spans="1:10" ht="15" x14ac:dyDescent="0.2">
      <c r="A635" s="72"/>
      <c r="B635" s="72"/>
      <c r="C635" s="72"/>
      <c r="D635" s="72"/>
      <c r="E635" s="72"/>
      <c r="F635" s="72"/>
      <c r="G635" s="72"/>
      <c r="H635" s="72"/>
      <c r="I635" s="72"/>
      <c r="J635" s="72"/>
    </row>
    <row r="636" spans="1:10" ht="15" x14ac:dyDescent="0.2">
      <c r="A636" s="72"/>
      <c r="B636" s="72"/>
      <c r="C636" s="72"/>
      <c r="D636" s="72"/>
      <c r="E636" s="72"/>
      <c r="F636" s="72"/>
      <c r="G636" s="72"/>
      <c r="H636" s="72"/>
      <c r="I636" s="72"/>
      <c r="J636" s="72"/>
    </row>
    <row r="637" spans="1:10" ht="15" x14ac:dyDescent="0.2">
      <c r="A637" s="72"/>
      <c r="B637" s="72"/>
      <c r="C637" s="72"/>
      <c r="D637" s="72"/>
      <c r="E637" s="72"/>
      <c r="F637" s="72"/>
      <c r="G637" s="72"/>
      <c r="H637" s="72"/>
      <c r="I637" s="72"/>
      <c r="J637" s="72"/>
    </row>
    <row r="638" spans="1:10" ht="15" x14ac:dyDescent="0.2">
      <c r="A638" s="72"/>
      <c r="B638" s="72"/>
      <c r="C638" s="72"/>
      <c r="D638" s="72"/>
      <c r="E638" s="72"/>
      <c r="F638" s="72"/>
      <c r="G638" s="72"/>
      <c r="H638" s="72"/>
      <c r="I638" s="72"/>
      <c r="J638" s="72"/>
    </row>
    <row r="639" spans="1:10" ht="15" x14ac:dyDescent="0.2">
      <c r="A639" s="72"/>
      <c r="B639" s="72"/>
      <c r="C639" s="72"/>
      <c r="D639" s="72"/>
      <c r="E639" s="72"/>
      <c r="F639" s="72"/>
      <c r="G639" s="72"/>
      <c r="H639" s="72"/>
      <c r="I639" s="72"/>
      <c r="J639" s="72"/>
    </row>
    <row r="640" spans="1:10" ht="15" x14ac:dyDescent="0.2">
      <c r="A640" s="72"/>
      <c r="B640" s="72"/>
      <c r="C640" s="72"/>
      <c r="D640" s="72"/>
      <c r="E640" s="72"/>
      <c r="F640" s="72"/>
      <c r="G640" s="72"/>
      <c r="H640" s="72"/>
      <c r="I640" s="72"/>
      <c r="J640" s="72"/>
    </row>
    <row r="641" spans="1:10" ht="15" x14ac:dyDescent="0.2">
      <c r="A641" s="72"/>
      <c r="B641" s="72"/>
      <c r="C641" s="72"/>
      <c r="D641" s="72"/>
      <c r="E641" s="72"/>
      <c r="F641" s="72"/>
      <c r="G641" s="72"/>
      <c r="H641" s="72"/>
      <c r="I641" s="72"/>
      <c r="J641" s="72"/>
    </row>
    <row r="642" spans="1:10" ht="15" x14ac:dyDescent="0.2">
      <c r="A642" s="72"/>
      <c r="B642" s="72"/>
      <c r="C642" s="72"/>
      <c r="D642" s="72"/>
      <c r="E642" s="72"/>
      <c r="F642" s="72"/>
      <c r="G642" s="72"/>
      <c r="H642" s="72"/>
      <c r="I642" s="72"/>
      <c r="J642" s="72"/>
    </row>
    <row r="643" spans="1:10" ht="15" x14ac:dyDescent="0.2">
      <c r="A643" s="72"/>
      <c r="B643" s="72"/>
      <c r="C643" s="72"/>
      <c r="D643" s="72"/>
      <c r="E643" s="72"/>
      <c r="F643" s="72"/>
      <c r="G643" s="72"/>
      <c r="H643" s="72"/>
      <c r="I643" s="72"/>
      <c r="J643" s="72"/>
    </row>
    <row r="644" spans="1:10" ht="15" x14ac:dyDescent="0.2">
      <c r="A644" s="72"/>
      <c r="B644" s="72"/>
      <c r="C644" s="72"/>
      <c r="D644" s="72"/>
      <c r="E644" s="72"/>
      <c r="F644" s="72"/>
      <c r="G644" s="72"/>
      <c r="H644" s="72"/>
      <c r="I644" s="72"/>
      <c r="J644" s="72"/>
    </row>
    <row r="645" spans="1:10" ht="15" x14ac:dyDescent="0.2">
      <c r="A645" s="72"/>
      <c r="B645" s="72"/>
      <c r="C645" s="72"/>
      <c r="D645" s="72"/>
      <c r="E645" s="72"/>
      <c r="F645" s="72"/>
      <c r="G645" s="72"/>
      <c r="H645" s="72"/>
      <c r="I645" s="72"/>
      <c r="J645" s="72"/>
    </row>
    <row r="646" spans="1:10" ht="15" x14ac:dyDescent="0.2">
      <c r="A646" s="72"/>
      <c r="B646" s="72"/>
      <c r="C646" s="72"/>
      <c r="D646" s="72"/>
      <c r="E646" s="72"/>
      <c r="F646" s="72"/>
      <c r="G646" s="72"/>
      <c r="H646" s="72"/>
      <c r="I646" s="72"/>
      <c r="J646" s="72"/>
    </row>
    <row r="647" spans="1:10" ht="15" x14ac:dyDescent="0.2">
      <c r="A647" s="72"/>
      <c r="B647" s="72"/>
      <c r="C647" s="72"/>
      <c r="D647" s="72"/>
      <c r="E647" s="72"/>
      <c r="F647" s="72"/>
      <c r="G647" s="72"/>
      <c r="H647" s="72"/>
      <c r="I647" s="72"/>
      <c r="J647" s="72"/>
    </row>
    <row r="648" spans="1:10" ht="15" x14ac:dyDescent="0.2">
      <c r="A648" s="72"/>
      <c r="B648" s="72"/>
      <c r="C648" s="72"/>
      <c r="D648" s="72"/>
      <c r="E648" s="72"/>
      <c r="F648" s="72"/>
      <c r="G648" s="72"/>
      <c r="H648" s="72"/>
      <c r="I648" s="72"/>
      <c r="J648" s="72"/>
    </row>
    <row r="649" spans="1:10" ht="15" x14ac:dyDescent="0.2">
      <c r="A649" s="72"/>
      <c r="B649" s="72"/>
      <c r="C649" s="72"/>
      <c r="D649" s="72"/>
      <c r="E649" s="72"/>
      <c r="F649" s="72"/>
      <c r="G649" s="72"/>
      <c r="H649" s="72"/>
      <c r="I649" s="72"/>
      <c r="J649" s="72"/>
    </row>
    <row r="650" spans="1:10" ht="15" x14ac:dyDescent="0.2">
      <c r="A650" s="72"/>
      <c r="B650" s="72"/>
      <c r="C650" s="72"/>
      <c r="D650" s="72"/>
      <c r="E650" s="72"/>
      <c r="F650" s="72"/>
      <c r="G650" s="72"/>
      <c r="H650" s="72"/>
      <c r="I650" s="72"/>
      <c r="J650" s="72"/>
    </row>
    <row r="651" spans="1:10" ht="15" x14ac:dyDescent="0.2">
      <c r="A651" s="72"/>
      <c r="B651" s="72"/>
      <c r="C651" s="72"/>
      <c r="D651" s="72"/>
      <c r="E651" s="72"/>
      <c r="F651" s="72"/>
      <c r="G651" s="72"/>
      <c r="H651" s="72"/>
      <c r="I651" s="72"/>
      <c r="J651" s="72"/>
    </row>
    <row r="652" spans="1:10" ht="15" x14ac:dyDescent="0.2">
      <c r="A652" s="72"/>
      <c r="B652" s="72"/>
      <c r="C652" s="72"/>
      <c r="D652" s="72"/>
      <c r="E652" s="72"/>
      <c r="F652" s="72"/>
      <c r="G652" s="72"/>
      <c r="H652" s="72"/>
      <c r="I652" s="72"/>
      <c r="J652" s="72"/>
    </row>
    <row r="653" spans="1:10" ht="15" x14ac:dyDescent="0.2">
      <c r="A653" s="72"/>
      <c r="B653" s="72"/>
      <c r="C653" s="72"/>
      <c r="D653" s="72"/>
      <c r="E653" s="72"/>
      <c r="F653" s="72"/>
      <c r="G653" s="72"/>
      <c r="H653" s="72"/>
      <c r="I653" s="72"/>
      <c r="J653" s="72"/>
    </row>
    <row r="654" spans="1:10" ht="15" x14ac:dyDescent="0.2">
      <c r="A654" s="72"/>
      <c r="B654" s="72"/>
      <c r="C654" s="72"/>
      <c r="D654" s="72"/>
      <c r="E654" s="72"/>
      <c r="F654" s="72"/>
      <c r="G654" s="72"/>
      <c r="H654" s="72"/>
      <c r="I654" s="72"/>
      <c r="J654" s="72"/>
    </row>
    <row r="655" spans="1:10" ht="15" x14ac:dyDescent="0.2">
      <c r="A655" s="72"/>
      <c r="B655" s="72"/>
      <c r="C655" s="72"/>
      <c r="D655" s="72"/>
      <c r="E655" s="72"/>
      <c r="F655" s="72"/>
      <c r="G655" s="72"/>
      <c r="H655" s="72"/>
      <c r="I655" s="72"/>
      <c r="J655" s="72"/>
    </row>
    <row r="656" spans="1:10" ht="15" x14ac:dyDescent="0.2">
      <c r="A656" s="72"/>
      <c r="B656" s="72"/>
      <c r="C656" s="72"/>
      <c r="D656" s="72"/>
      <c r="E656" s="72"/>
      <c r="F656" s="72"/>
      <c r="G656" s="72"/>
      <c r="H656" s="72"/>
      <c r="I656" s="72"/>
      <c r="J656" s="72"/>
    </row>
    <row r="657" spans="1:10" ht="15" x14ac:dyDescent="0.2">
      <c r="A657" s="72"/>
      <c r="B657" s="72"/>
      <c r="C657" s="72"/>
      <c r="D657" s="72"/>
      <c r="E657" s="72"/>
      <c r="F657" s="72"/>
      <c r="G657" s="72"/>
      <c r="H657" s="72"/>
      <c r="I657" s="72"/>
      <c r="J657" s="72"/>
    </row>
    <row r="658" spans="1:10" ht="15" x14ac:dyDescent="0.2">
      <c r="A658" s="72"/>
      <c r="B658" s="72"/>
      <c r="C658" s="72"/>
      <c r="D658" s="72"/>
      <c r="E658" s="72"/>
      <c r="F658" s="72"/>
      <c r="G658" s="72"/>
      <c r="H658" s="72"/>
      <c r="I658" s="72"/>
      <c r="J658" s="72"/>
    </row>
    <row r="659" spans="1:10" ht="15" x14ac:dyDescent="0.2">
      <c r="A659" s="72"/>
      <c r="B659" s="72"/>
      <c r="C659" s="72"/>
      <c r="D659" s="72"/>
      <c r="E659" s="72"/>
      <c r="F659" s="72"/>
      <c r="G659" s="72"/>
      <c r="H659" s="72"/>
      <c r="I659" s="72"/>
      <c r="J659" s="72"/>
    </row>
    <row r="660" spans="1:10" ht="15" x14ac:dyDescent="0.2">
      <c r="A660" s="72"/>
      <c r="B660" s="72"/>
      <c r="C660" s="72"/>
      <c r="D660" s="72"/>
      <c r="E660" s="72"/>
      <c r="F660" s="72"/>
      <c r="G660" s="72"/>
      <c r="H660" s="72"/>
      <c r="I660" s="72"/>
      <c r="J660" s="72"/>
    </row>
    <row r="661" spans="1:10" ht="15" x14ac:dyDescent="0.2">
      <c r="A661" s="72"/>
      <c r="B661" s="72"/>
      <c r="C661" s="72"/>
      <c r="D661" s="72"/>
      <c r="E661" s="72"/>
      <c r="F661" s="72"/>
      <c r="G661" s="72"/>
      <c r="H661" s="72"/>
      <c r="I661" s="72"/>
      <c r="J661" s="72"/>
    </row>
    <row r="662" spans="1:10" ht="15" x14ac:dyDescent="0.2">
      <c r="A662" s="72"/>
      <c r="B662" s="72"/>
      <c r="C662" s="72"/>
      <c r="D662" s="72"/>
      <c r="E662" s="72"/>
      <c r="F662" s="72"/>
      <c r="G662" s="72"/>
      <c r="H662" s="72"/>
      <c r="I662" s="72"/>
      <c r="J662" s="72"/>
    </row>
    <row r="663" spans="1:10" ht="15" x14ac:dyDescent="0.2">
      <c r="A663" s="72"/>
      <c r="B663" s="72"/>
      <c r="C663" s="72"/>
      <c r="D663" s="72"/>
      <c r="E663" s="72"/>
      <c r="F663" s="72"/>
      <c r="G663" s="72"/>
      <c r="H663" s="72"/>
      <c r="I663" s="72"/>
      <c r="J663" s="72"/>
    </row>
    <row r="664" spans="1:10" ht="15" x14ac:dyDescent="0.2">
      <c r="A664" s="72"/>
      <c r="B664" s="72"/>
      <c r="C664" s="72"/>
      <c r="D664" s="72"/>
      <c r="E664" s="72"/>
      <c r="F664" s="72"/>
      <c r="G664" s="72"/>
      <c r="H664" s="72"/>
      <c r="I664" s="72"/>
      <c r="J664" s="72"/>
    </row>
    <row r="665" spans="1:10" ht="15" x14ac:dyDescent="0.2">
      <c r="A665" s="72"/>
      <c r="B665" s="72"/>
      <c r="C665" s="72"/>
      <c r="D665" s="72"/>
      <c r="E665" s="72"/>
      <c r="F665" s="72"/>
      <c r="G665" s="72"/>
      <c r="H665" s="72"/>
      <c r="I665" s="72"/>
      <c r="J665" s="72"/>
    </row>
    <row r="666" spans="1:10" ht="15" x14ac:dyDescent="0.2">
      <c r="A666" s="72"/>
      <c r="B666" s="72"/>
      <c r="C666" s="72"/>
      <c r="D666" s="72"/>
      <c r="E666" s="72"/>
      <c r="F666" s="72"/>
      <c r="G666" s="72"/>
      <c r="H666" s="72"/>
      <c r="I666" s="72"/>
      <c r="J666" s="72"/>
    </row>
    <row r="667" spans="1:10" ht="15" x14ac:dyDescent="0.2">
      <c r="A667" s="72"/>
      <c r="B667" s="72"/>
      <c r="C667" s="72"/>
      <c r="D667" s="72"/>
      <c r="E667" s="72"/>
      <c r="F667" s="72"/>
      <c r="G667" s="72"/>
      <c r="H667" s="72"/>
      <c r="I667" s="72"/>
      <c r="J667" s="72"/>
    </row>
    <row r="668" spans="1:10" ht="15" x14ac:dyDescent="0.2">
      <c r="A668" s="72"/>
      <c r="B668" s="72"/>
      <c r="C668" s="72"/>
      <c r="D668" s="72"/>
      <c r="E668" s="72"/>
      <c r="F668" s="72"/>
      <c r="G668" s="72"/>
      <c r="H668" s="72"/>
      <c r="I668" s="72"/>
      <c r="J668" s="72"/>
    </row>
    <row r="669" spans="1:10" ht="15" x14ac:dyDescent="0.2">
      <c r="A669" s="72"/>
      <c r="B669" s="72"/>
      <c r="C669" s="72"/>
      <c r="D669" s="72"/>
      <c r="E669" s="72"/>
      <c r="F669" s="72"/>
      <c r="G669" s="72"/>
      <c r="H669" s="72"/>
      <c r="I669" s="72"/>
      <c r="J669" s="72"/>
    </row>
    <row r="670" spans="1:10" ht="15" x14ac:dyDescent="0.2">
      <c r="A670" s="72"/>
      <c r="B670" s="72"/>
      <c r="C670" s="72"/>
      <c r="D670" s="72"/>
      <c r="E670" s="72"/>
      <c r="F670" s="72"/>
      <c r="G670" s="72"/>
      <c r="H670" s="72"/>
      <c r="I670" s="72"/>
      <c r="J670" s="72"/>
    </row>
    <row r="671" spans="1:10" ht="15" x14ac:dyDescent="0.2">
      <c r="A671" s="72"/>
      <c r="B671" s="72"/>
      <c r="C671" s="72"/>
      <c r="D671" s="72"/>
      <c r="E671" s="72"/>
      <c r="F671" s="72"/>
      <c r="G671" s="72"/>
      <c r="H671" s="72"/>
      <c r="I671" s="72"/>
      <c r="J671" s="72"/>
    </row>
    <row r="672" spans="1:10" ht="15" x14ac:dyDescent="0.2">
      <c r="A672" s="72"/>
      <c r="B672" s="72"/>
      <c r="C672" s="72"/>
      <c r="D672" s="72"/>
      <c r="E672" s="72"/>
      <c r="F672" s="72"/>
      <c r="G672" s="72"/>
      <c r="H672" s="72"/>
      <c r="I672" s="72"/>
      <c r="J672" s="72"/>
    </row>
    <row r="673" spans="1:10" ht="15" x14ac:dyDescent="0.2">
      <c r="A673" s="72"/>
      <c r="B673" s="72"/>
      <c r="C673" s="72"/>
      <c r="D673" s="72"/>
      <c r="E673" s="72"/>
      <c r="F673" s="72"/>
      <c r="G673" s="72"/>
      <c r="H673" s="72"/>
      <c r="I673" s="72"/>
      <c r="J673" s="72"/>
    </row>
    <row r="674" spans="1:10" ht="15" x14ac:dyDescent="0.2">
      <c r="A674" s="72"/>
      <c r="B674" s="72"/>
      <c r="C674" s="72"/>
      <c r="D674" s="72"/>
      <c r="E674" s="72"/>
      <c r="F674" s="72"/>
      <c r="G674" s="72"/>
      <c r="H674" s="72"/>
      <c r="I674" s="72"/>
      <c r="J674" s="72"/>
    </row>
    <row r="675" spans="1:10" ht="15" x14ac:dyDescent="0.2">
      <c r="A675" s="72"/>
      <c r="B675" s="72"/>
      <c r="C675" s="72"/>
      <c r="D675" s="72"/>
      <c r="E675" s="72"/>
      <c r="F675" s="72"/>
      <c r="G675" s="72"/>
      <c r="H675" s="72"/>
      <c r="I675" s="72"/>
      <c r="J675" s="72"/>
    </row>
    <row r="676" spans="1:10" ht="15" x14ac:dyDescent="0.2">
      <c r="A676" s="72"/>
      <c r="B676" s="72"/>
      <c r="C676" s="72"/>
      <c r="D676" s="72"/>
      <c r="E676" s="72"/>
      <c r="F676" s="72"/>
      <c r="G676" s="72"/>
      <c r="H676" s="72"/>
      <c r="I676" s="72"/>
      <c r="J676" s="72"/>
    </row>
    <row r="677" spans="1:10" ht="15" x14ac:dyDescent="0.2">
      <c r="A677" s="72"/>
      <c r="B677" s="72"/>
      <c r="C677" s="72"/>
      <c r="D677" s="72"/>
      <c r="E677" s="72"/>
      <c r="F677" s="72"/>
      <c r="G677" s="72"/>
      <c r="H677" s="72"/>
      <c r="I677" s="72"/>
      <c r="J677" s="72"/>
    </row>
    <row r="678" spans="1:10" ht="15" x14ac:dyDescent="0.2">
      <c r="A678" s="72"/>
      <c r="B678" s="72"/>
      <c r="C678" s="72"/>
      <c r="D678" s="72"/>
      <c r="E678" s="72"/>
      <c r="F678" s="72"/>
      <c r="G678" s="72"/>
      <c r="H678" s="72"/>
      <c r="I678" s="72"/>
      <c r="J678" s="72"/>
    </row>
    <row r="679" spans="1:10" ht="15" x14ac:dyDescent="0.2">
      <c r="A679" s="72"/>
      <c r="B679" s="72"/>
      <c r="C679" s="72"/>
      <c r="D679" s="72"/>
      <c r="E679" s="72"/>
      <c r="F679" s="72"/>
      <c r="G679" s="72"/>
      <c r="H679" s="72"/>
      <c r="I679" s="72"/>
      <c r="J679" s="72"/>
    </row>
    <row r="680" spans="1:10" ht="15" x14ac:dyDescent="0.2">
      <c r="A680" s="72"/>
      <c r="B680" s="72"/>
      <c r="C680" s="72"/>
      <c r="D680" s="72"/>
      <c r="E680" s="72"/>
      <c r="F680" s="72"/>
      <c r="G680" s="72"/>
      <c r="H680" s="72"/>
      <c r="I680" s="72"/>
      <c r="J680" s="72"/>
    </row>
    <row r="681" spans="1:10" ht="15" x14ac:dyDescent="0.2">
      <c r="A681" s="72"/>
      <c r="B681" s="72"/>
      <c r="C681" s="72"/>
      <c r="D681" s="72"/>
      <c r="E681" s="72"/>
      <c r="F681" s="72"/>
      <c r="G681" s="72"/>
      <c r="H681" s="72"/>
      <c r="I681" s="72"/>
      <c r="J681" s="72"/>
    </row>
    <row r="682" spans="1:10" ht="15" x14ac:dyDescent="0.2">
      <c r="A682" s="72"/>
      <c r="B682" s="72"/>
      <c r="C682" s="72"/>
      <c r="D682" s="72"/>
      <c r="E682" s="72"/>
      <c r="F682" s="72"/>
      <c r="G682" s="72"/>
      <c r="H682" s="72"/>
      <c r="I682" s="72"/>
      <c r="J682" s="72"/>
    </row>
    <row r="683" spans="1:10" ht="15" x14ac:dyDescent="0.2">
      <c r="A683" s="72"/>
      <c r="B683" s="72"/>
      <c r="C683" s="72"/>
      <c r="D683" s="72"/>
      <c r="E683" s="72"/>
      <c r="F683" s="72"/>
      <c r="G683" s="72"/>
      <c r="H683" s="72"/>
      <c r="I683" s="72"/>
      <c r="J683" s="72"/>
    </row>
    <row r="684" spans="1:10" ht="15" x14ac:dyDescent="0.2">
      <c r="A684" s="72"/>
      <c r="B684" s="72"/>
      <c r="C684" s="72"/>
      <c r="D684" s="72"/>
      <c r="E684" s="72"/>
      <c r="F684" s="72"/>
      <c r="G684" s="72"/>
      <c r="H684" s="72"/>
      <c r="I684" s="72"/>
      <c r="J684" s="72"/>
    </row>
    <row r="685" spans="1:10" ht="15" x14ac:dyDescent="0.2">
      <c r="A685" s="72"/>
      <c r="B685" s="72"/>
      <c r="C685" s="72"/>
      <c r="D685" s="72"/>
      <c r="E685" s="72"/>
      <c r="F685" s="72"/>
      <c r="G685" s="72"/>
      <c r="H685" s="72"/>
      <c r="I685" s="72"/>
      <c r="J685" s="72"/>
    </row>
    <row r="686" spans="1:10" ht="15" x14ac:dyDescent="0.2">
      <c r="A686" s="72"/>
      <c r="B686" s="72"/>
      <c r="C686" s="72"/>
      <c r="D686" s="72"/>
      <c r="E686" s="72"/>
      <c r="F686" s="72"/>
      <c r="G686" s="72"/>
      <c r="H686" s="72"/>
      <c r="I686" s="72"/>
      <c r="J686" s="72"/>
    </row>
    <row r="687" spans="1:10" ht="15" x14ac:dyDescent="0.2">
      <c r="A687" s="72"/>
      <c r="B687" s="72"/>
      <c r="C687" s="72"/>
      <c r="D687" s="72"/>
      <c r="E687" s="72"/>
      <c r="F687" s="72"/>
      <c r="G687" s="72"/>
      <c r="H687" s="72"/>
      <c r="I687" s="72"/>
      <c r="J687" s="72"/>
    </row>
    <row r="688" spans="1:10" ht="15" x14ac:dyDescent="0.2">
      <c r="A688" s="72"/>
      <c r="B688" s="72"/>
      <c r="C688" s="72"/>
      <c r="D688" s="72"/>
      <c r="E688" s="72"/>
      <c r="F688" s="72"/>
      <c r="G688" s="72"/>
      <c r="H688" s="72"/>
      <c r="I688" s="72"/>
      <c r="J688" s="72"/>
    </row>
    <row r="689" spans="1:10" ht="15" x14ac:dyDescent="0.2">
      <c r="A689" s="72"/>
      <c r="B689" s="72"/>
      <c r="C689" s="72"/>
      <c r="D689" s="72"/>
      <c r="E689" s="72"/>
      <c r="F689" s="72"/>
      <c r="G689" s="72"/>
      <c r="H689" s="72"/>
      <c r="I689" s="72"/>
      <c r="J689" s="72"/>
    </row>
    <row r="690" spans="1:10" ht="15" x14ac:dyDescent="0.2">
      <c r="A690" s="72"/>
      <c r="B690" s="72"/>
      <c r="C690" s="72"/>
      <c r="D690" s="72"/>
      <c r="E690" s="72"/>
      <c r="F690" s="72"/>
      <c r="G690" s="72"/>
      <c r="H690" s="72"/>
      <c r="I690" s="72"/>
      <c r="J690" s="72"/>
    </row>
    <row r="691" spans="1:10" ht="15" x14ac:dyDescent="0.2">
      <c r="A691" s="72"/>
      <c r="B691" s="72"/>
      <c r="C691" s="72"/>
      <c r="D691" s="72"/>
      <c r="E691" s="72"/>
      <c r="F691" s="72"/>
      <c r="G691" s="72"/>
      <c r="H691" s="72"/>
      <c r="I691" s="72"/>
      <c r="J691" s="72"/>
    </row>
    <row r="692" spans="1:10" ht="15" x14ac:dyDescent="0.2">
      <c r="A692" s="72"/>
      <c r="B692" s="72"/>
      <c r="C692" s="72"/>
      <c r="D692" s="72"/>
      <c r="E692" s="72"/>
      <c r="F692" s="72"/>
      <c r="G692" s="72"/>
      <c r="H692" s="72"/>
      <c r="I692" s="72"/>
      <c r="J692" s="72"/>
    </row>
    <row r="693" spans="1:10" ht="15" x14ac:dyDescent="0.2">
      <c r="A693" s="72"/>
      <c r="B693" s="72"/>
      <c r="C693" s="72"/>
      <c r="D693" s="72"/>
      <c r="E693" s="72"/>
      <c r="F693" s="72"/>
      <c r="G693" s="72"/>
      <c r="H693" s="72"/>
      <c r="I693" s="72"/>
      <c r="J693" s="72"/>
    </row>
    <row r="694" spans="1:10" ht="15" x14ac:dyDescent="0.2">
      <c r="A694" s="72"/>
      <c r="B694" s="72"/>
      <c r="C694" s="72"/>
      <c r="D694" s="72"/>
      <c r="E694" s="72"/>
      <c r="F694" s="72"/>
      <c r="G694" s="72"/>
      <c r="H694" s="72"/>
      <c r="I694" s="72"/>
      <c r="J694" s="72"/>
    </row>
    <row r="695" spans="1:10" ht="15" x14ac:dyDescent="0.2">
      <c r="A695" s="72"/>
      <c r="B695" s="72"/>
      <c r="C695" s="72"/>
      <c r="D695" s="72"/>
      <c r="E695" s="72"/>
      <c r="F695" s="72"/>
      <c r="G695" s="72"/>
      <c r="H695" s="72"/>
      <c r="I695" s="72"/>
      <c r="J695" s="72"/>
    </row>
    <row r="696" spans="1:10" ht="15" x14ac:dyDescent="0.2">
      <c r="A696" s="72"/>
      <c r="B696" s="72"/>
      <c r="C696" s="72"/>
      <c r="D696" s="72"/>
      <c r="E696" s="72"/>
      <c r="F696" s="72"/>
      <c r="G696" s="72"/>
      <c r="H696" s="72"/>
      <c r="I696" s="72"/>
      <c r="J696" s="72"/>
    </row>
    <row r="697" spans="1:10" ht="15" x14ac:dyDescent="0.2">
      <c r="A697" s="72"/>
      <c r="B697" s="72"/>
      <c r="C697" s="72"/>
      <c r="D697" s="72"/>
      <c r="E697" s="72"/>
      <c r="F697" s="72"/>
      <c r="G697" s="72"/>
      <c r="H697" s="72"/>
      <c r="I697" s="72"/>
      <c r="J697" s="72"/>
    </row>
    <row r="698" spans="1:10" ht="15" x14ac:dyDescent="0.2">
      <c r="A698" s="72"/>
      <c r="B698" s="72"/>
      <c r="C698" s="72"/>
      <c r="D698" s="72"/>
      <c r="E698" s="72"/>
      <c r="F698" s="72"/>
      <c r="G698" s="72"/>
      <c r="H698" s="72"/>
      <c r="I698" s="72"/>
      <c r="J698" s="72"/>
    </row>
    <row r="699" spans="1:10" ht="15" x14ac:dyDescent="0.2">
      <c r="A699" s="72"/>
      <c r="B699" s="72"/>
      <c r="C699" s="72"/>
      <c r="D699" s="72"/>
      <c r="E699" s="72"/>
      <c r="F699" s="72"/>
      <c r="G699" s="72"/>
      <c r="H699" s="72"/>
      <c r="I699" s="72"/>
      <c r="J699" s="72"/>
    </row>
    <row r="700" spans="1:10" ht="15" x14ac:dyDescent="0.2">
      <c r="A700" s="72"/>
      <c r="B700" s="72"/>
      <c r="C700" s="72"/>
      <c r="D700" s="72"/>
      <c r="E700" s="72"/>
      <c r="F700" s="72"/>
      <c r="G700" s="72"/>
      <c r="H700" s="72"/>
      <c r="I700" s="72"/>
      <c r="J700" s="72"/>
    </row>
    <row r="701" spans="1:10" ht="15" x14ac:dyDescent="0.2">
      <c r="A701" s="72"/>
      <c r="B701" s="72"/>
      <c r="C701" s="72"/>
      <c r="D701" s="72"/>
      <c r="E701" s="72"/>
      <c r="F701" s="72"/>
      <c r="G701" s="72"/>
      <c r="H701" s="72"/>
      <c r="I701" s="72"/>
      <c r="J701" s="72"/>
    </row>
    <row r="702" spans="1:10" ht="15" x14ac:dyDescent="0.2">
      <c r="A702" s="72"/>
      <c r="B702" s="72"/>
      <c r="C702" s="72"/>
      <c r="D702" s="72"/>
      <c r="E702" s="72"/>
      <c r="F702" s="72"/>
      <c r="G702" s="72"/>
      <c r="H702" s="72"/>
      <c r="I702" s="72"/>
      <c r="J702" s="72"/>
    </row>
    <row r="703" spans="1:10" ht="15" x14ac:dyDescent="0.2">
      <c r="A703" s="72"/>
      <c r="B703" s="72"/>
      <c r="C703" s="72"/>
      <c r="D703" s="72"/>
      <c r="E703" s="72"/>
      <c r="F703" s="72"/>
      <c r="G703" s="72"/>
      <c r="H703" s="72"/>
      <c r="I703" s="72"/>
      <c r="J703" s="72"/>
    </row>
    <row r="704" spans="1:10" ht="15" x14ac:dyDescent="0.2">
      <c r="A704" s="72"/>
      <c r="B704" s="72"/>
      <c r="C704" s="72"/>
      <c r="D704" s="72"/>
      <c r="E704" s="72"/>
      <c r="F704" s="72"/>
      <c r="G704" s="72"/>
      <c r="H704" s="72"/>
      <c r="I704" s="72"/>
      <c r="J704" s="72"/>
    </row>
    <row r="705" spans="1:10" ht="15" x14ac:dyDescent="0.2">
      <c r="A705" s="72"/>
      <c r="B705" s="72"/>
      <c r="C705" s="72"/>
      <c r="D705" s="72"/>
      <c r="E705" s="72"/>
      <c r="F705" s="72"/>
      <c r="G705" s="72"/>
      <c r="H705" s="72"/>
      <c r="I705" s="72"/>
      <c r="J705" s="72"/>
    </row>
    <row r="706" spans="1:10" ht="15" x14ac:dyDescent="0.2">
      <c r="A706" s="72"/>
      <c r="B706" s="72"/>
      <c r="C706" s="72"/>
      <c r="D706" s="72"/>
      <c r="E706" s="72"/>
      <c r="F706" s="72"/>
      <c r="G706" s="72"/>
      <c r="H706" s="72"/>
      <c r="I706" s="72"/>
      <c r="J706" s="72"/>
    </row>
    <row r="707" spans="1:10" ht="15" x14ac:dyDescent="0.2">
      <c r="A707" s="72"/>
      <c r="B707" s="72"/>
      <c r="C707" s="72"/>
      <c r="D707" s="72"/>
      <c r="E707" s="72"/>
      <c r="F707" s="72"/>
      <c r="G707" s="72"/>
      <c r="H707" s="72"/>
      <c r="I707" s="72"/>
      <c r="J707" s="72"/>
    </row>
    <row r="708" spans="1:10" ht="15" x14ac:dyDescent="0.2">
      <c r="A708" s="72"/>
      <c r="B708" s="72"/>
      <c r="C708" s="72"/>
      <c r="D708" s="72"/>
      <c r="E708" s="72"/>
      <c r="F708" s="72"/>
      <c r="G708" s="72"/>
      <c r="H708" s="72"/>
      <c r="I708" s="72"/>
      <c r="J708" s="72"/>
    </row>
    <row r="709" spans="1:10" ht="15" x14ac:dyDescent="0.2">
      <c r="A709" s="72"/>
      <c r="B709" s="72"/>
      <c r="C709" s="72"/>
      <c r="D709" s="72"/>
      <c r="E709" s="72"/>
      <c r="F709" s="72"/>
      <c r="G709" s="72"/>
      <c r="H709" s="72"/>
      <c r="I709" s="72"/>
      <c r="J709" s="72"/>
    </row>
    <row r="710" spans="1:10" ht="15" x14ac:dyDescent="0.2">
      <c r="A710" s="72"/>
      <c r="B710" s="72"/>
      <c r="C710" s="72"/>
      <c r="D710" s="72"/>
      <c r="E710" s="72"/>
      <c r="F710" s="72"/>
      <c r="G710" s="72"/>
      <c r="H710" s="72"/>
      <c r="I710" s="72"/>
      <c r="J710" s="72"/>
    </row>
    <row r="711" spans="1:10" ht="15" x14ac:dyDescent="0.2">
      <c r="A711" s="72"/>
      <c r="B711" s="72"/>
      <c r="C711" s="72"/>
      <c r="D711" s="72"/>
      <c r="E711" s="72"/>
      <c r="F711" s="72"/>
      <c r="G711" s="72"/>
      <c r="H711" s="72"/>
      <c r="I711" s="72"/>
      <c r="J711" s="72"/>
    </row>
    <row r="712" spans="1:10" ht="15" x14ac:dyDescent="0.2">
      <c r="A712" s="72"/>
      <c r="B712" s="72"/>
      <c r="C712" s="72"/>
      <c r="D712" s="72"/>
      <c r="E712" s="72"/>
      <c r="F712" s="72"/>
      <c r="G712" s="72"/>
      <c r="H712" s="72"/>
      <c r="I712" s="72"/>
      <c r="J712" s="72"/>
    </row>
    <row r="713" spans="1:10" ht="15" x14ac:dyDescent="0.2">
      <c r="A713" s="72"/>
      <c r="B713" s="72"/>
      <c r="C713" s="72"/>
      <c r="D713" s="72"/>
      <c r="E713" s="72"/>
      <c r="F713" s="72"/>
      <c r="G713" s="72"/>
      <c r="H713" s="72"/>
      <c r="I713" s="72"/>
      <c r="J713" s="72"/>
    </row>
    <row r="714" spans="1:10" ht="15" x14ac:dyDescent="0.2">
      <c r="A714" s="72"/>
      <c r="B714" s="72"/>
      <c r="C714" s="72"/>
      <c r="D714" s="72"/>
      <c r="E714" s="72"/>
      <c r="F714" s="72"/>
      <c r="G714" s="72"/>
      <c r="H714" s="72"/>
      <c r="I714" s="72"/>
      <c r="J714" s="72"/>
    </row>
    <row r="715" spans="1:10" ht="15" x14ac:dyDescent="0.2">
      <c r="A715" s="72"/>
      <c r="B715" s="72"/>
      <c r="C715" s="72"/>
      <c r="D715" s="72"/>
      <c r="E715" s="72"/>
      <c r="F715" s="72"/>
      <c r="G715" s="72"/>
      <c r="H715" s="72"/>
      <c r="I715" s="72"/>
      <c r="J715" s="72"/>
    </row>
    <row r="716" spans="1:10" ht="15" x14ac:dyDescent="0.2">
      <c r="A716" s="72"/>
      <c r="B716" s="72"/>
      <c r="C716" s="72"/>
      <c r="D716" s="72"/>
      <c r="E716" s="72"/>
      <c r="F716" s="72"/>
      <c r="G716" s="72"/>
      <c r="H716" s="72"/>
      <c r="I716" s="72"/>
      <c r="J716" s="72"/>
    </row>
    <row r="717" spans="1:10" ht="15" x14ac:dyDescent="0.2">
      <c r="A717" s="72"/>
      <c r="B717" s="72"/>
      <c r="C717" s="72"/>
      <c r="D717" s="72"/>
      <c r="E717" s="72"/>
      <c r="F717" s="72"/>
      <c r="G717" s="72"/>
      <c r="H717" s="72"/>
      <c r="I717" s="72"/>
      <c r="J717" s="72"/>
    </row>
    <row r="718" spans="1:10" ht="15" x14ac:dyDescent="0.2">
      <c r="A718" s="72"/>
      <c r="B718" s="72"/>
      <c r="C718" s="72"/>
      <c r="D718" s="72"/>
      <c r="E718" s="72"/>
      <c r="F718" s="72"/>
      <c r="G718" s="72"/>
      <c r="H718" s="72"/>
      <c r="I718" s="72"/>
      <c r="J718" s="72"/>
    </row>
    <row r="719" spans="1:10" ht="15" x14ac:dyDescent="0.2">
      <c r="A719" s="72"/>
      <c r="B719" s="72"/>
      <c r="C719" s="72"/>
      <c r="D719" s="72"/>
      <c r="E719" s="72"/>
      <c r="F719" s="72"/>
      <c r="G719" s="72"/>
      <c r="H719" s="72"/>
      <c r="I719" s="72"/>
      <c r="J719" s="72"/>
    </row>
    <row r="720" spans="1:10" ht="15" x14ac:dyDescent="0.2">
      <c r="A720" s="72"/>
      <c r="B720" s="72"/>
      <c r="C720" s="72"/>
      <c r="D720" s="72"/>
      <c r="E720" s="72"/>
      <c r="F720" s="72"/>
      <c r="G720" s="72"/>
      <c r="H720" s="72"/>
      <c r="I720" s="72"/>
      <c r="J720" s="72"/>
    </row>
    <row r="721" spans="1:10" ht="15" x14ac:dyDescent="0.2">
      <c r="A721" s="72"/>
      <c r="B721" s="72"/>
      <c r="C721" s="72"/>
      <c r="D721" s="72"/>
      <c r="E721" s="72"/>
      <c r="F721" s="72"/>
      <c r="G721" s="72"/>
      <c r="H721" s="72"/>
      <c r="I721" s="72"/>
      <c r="J721" s="72"/>
    </row>
    <row r="722" spans="1:10" ht="15" x14ac:dyDescent="0.2">
      <c r="A722" s="72"/>
      <c r="B722" s="72"/>
      <c r="C722" s="72"/>
      <c r="D722" s="72"/>
      <c r="E722" s="72"/>
      <c r="F722" s="72"/>
      <c r="G722" s="72"/>
      <c r="H722" s="72"/>
      <c r="I722" s="72"/>
      <c r="J722" s="72"/>
    </row>
    <row r="723" spans="1:10" ht="15" x14ac:dyDescent="0.2">
      <c r="A723" s="72"/>
      <c r="B723" s="72"/>
      <c r="C723" s="72"/>
      <c r="D723" s="72"/>
      <c r="E723" s="72"/>
      <c r="F723" s="72"/>
      <c r="G723" s="72"/>
      <c r="H723" s="72"/>
      <c r="I723" s="72"/>
      <c r="J723" s="72"/>
    </row>
    <row r="724" spans="1:10" ht="15" x14ac:dyDescent="0.2">
      <c r="A724" s="72"/>
      <c r="B724" s="72"/>
      <c r="C724" s="72"/>
      <c r="D724" s="72"/>
      <c r="E724" s="72"/>
      <c r="F724" s="72"/>
      <c r="G724" s="72"/>
      <c r="H724" s="72"/>
      <c r="I724" s="72"/>
      <c r="J724" s="72"/>
    </row>
    <row r="725" spans="1:10" ht="15" x14ac:dyDescent="0.2">
      <c r="A725" s="72"/>
      <c r="B725" s="72"/>
      <c r="C725" s="72"/>
      <c r="D725" s="72"/>
      <c r="E725" s="72"/>
      <c r="F725" s="72"/>
      <c r="G725" s="72"/>
      <c r="H725" s="72"/>
      <c r="I725" s="72"/>
      <c r="J725" s="72"/>
    </row>
    <row r="726" spans="1:10" ht="15" x14ac:dyDescent="0.2">
      <c r="A726" s="72"/>
      <c r="B726" s="72"/>
      <c r="C726" s="72"/>
      <c r="D726" s="72"/>
      <c r="E726" s="72"/>
      <c r="F726" s="72"/>
      <c r="G726" s="72"/>
      <c r="H726" s="72"/>
      <c r="I726" s="72"/>
      <c r="J726" s="72"/>
    </row>
    <row r="727" spans="1:10" ht="15" x14ac:dyDescent="0.2">
      <c r="A727" s="72"/>
      <c r="B727" s="72"/>
      <c r="C727" s="72"/>
      <c r="D727" s="72"/>
      <c r="E727" s="72"/>
      <c r="F727" s="72"/>
      <c r="G727" s="72"/>
      <c r="H727" s="72"/>
      <c r="I727" s="72"/>
      <c r="J727" s="72"/>
    </row>
    <row r="728" spans="1:10" ht="15" x14ac:dyDescent="0.2">
      <c r="A728" s="72"/>
      <c r="B728" s="72"/>
      <c r="C728" s="72"/>
      <c r="D728" s="72"/>
      <c r="E728" s="72"/>
      <c r="F728" s="72"/>
      <c r="G728" s="72"/>
      <c r="H728" s="72"/>
      <c r="I728" s="72"/>
      <c r="J728" s="72"/>
    </row>
    <row r="729" spans="1:10" ht="15" x14ac:dyDescent="0.2">
      <c r="A729" s="72"/>
      <c r="B729" s="72"/>
      <c r="C729" s="72"/>
      <c r="D729" s="72"/>
      <c r="E729" s="72"/>
      <c r="F729" s="72"/>
      <c r="G729" s="72"/>
      <c r="H729" s="72"/>
      <c r="I729" s="72"/>
      <c r="J729" s="72"/>
    </row>
    <row r="730" spans="1:10" ht="15" x14ac:dyDescent="0.2">
      <c r="A730" s="72"/>
      <c r="B730" s="72"/>
      <c r="C730" s="72"/>
      <c r="D730" s="72"/>
      <c r="E730" s="72"/>
      <c r="F730" s="72"/>
      <c r="G730" s="72"/>
      <c r="H730" s="72"/>
      <c r="I730" s="72"/>
      <c r="J730" s="72"/>
    </row>
    <row r="731" spans="1:10" ht="15" x14ac:dyDescent="0.2">
      <c r="A731" s="72"/>
      <c r="B731" s="72"/>
      <c r="C731" s="72"/>
      <c r="D731" s="72"/>
      <c r="E731" s="72"/>
      <c r="F731" s="72"/>
      <c r="G731" s="72"/>
      <c r="H731" s="72"/>
      <c r="I731" s="72"/>
      <c r="J731" s="72"/>
    </row>
    <row r="732" spans="1:10" ht="15" x14ac:dyDescent="0.2">
      <c r="A732" s="72"/>
      <c r="B732" s="72"/>
      <c r="C732" s="72"/>
      <c r="D732" s="72"/>
      <c r="E732" s="72"/>
      <c r="F732" s="72"/>
      <c r="G732" s="72"/>
      <c r="H732" s="72"/>
      <c r="I732" s="72"/>
      <c r="J732" s="72"/>
    </row>
    <row r="733" spans="1:10" ht="15" x14ac:dyDescent="0.2">
      <c r="A733" s="72"/>
      <c r="B733" s="72"/>
      <c r="C733" s="72"/>
      <c r="D733" s="72"/>
      <c r="E733" s="72"/>
      <c r="F733" s="72"/>
      <c r="G733" s="72"/>
      <c r="H733" s="72"/>
      <c r="I733" s="72"/>
      <c r="J733" s="72"/>
    </row>
    <row r="734" spans="1:10" ht="15" x14ac:dyDescent="0.2">
      <c r="A734" s="72"/>
      <c r="B734" s="72"/>
      <c r="C734" s="72"/>
      <c r="D734" s="72"/>
      <c r="E734" s="72"/>
      <c r="F734" s="72"/>
      <c r="G734" s="72"/>
      <c r="H734" s="72"/>
      <c r="I734" s="72"/>
      <c r="J734" s="72"/>
    </row>
    <row r="735" spans="1:10" ht="15" x14ac:dyDescent="0.2">
      <c r="A735" s="72"/>
      <c r="B735" s="72"/>
      <c r="C735" s="72"/>
      <c r="D735" s="72"/>
      <c r="E735" s="72"/>
      <c r="F735" s="72"/>
      <c r="G735" s="72"/>
      <c r="H735" s="72"/>
      <c r="I735" s="72"/>
      <c r="J735" s="72"/>
    </row>
    <row r="736" spans="1:10" ht="15" x14ac:dyDescent="0.2">
      <c r="A736" s="72"/>
      <c r="B736" s="72"/>
      <c r="C736" s="72"/>
      <c r="D736" s="72"/>
      <c r="E736" s="72"/>
      <c r="F736" s="72"/>
      <c r="G736" s="72"/>
      <c r="H736" s="72"/>
      <c r="I736" s="72"/>
      <c r="J736" s="72"/>
    </row>
    <row r="737" spans="1:10" ht="15" x14ac:dyDescent="0.2">
      <c r="A737" s="72"/>
      <c r="B737" s="72"/>
      <c r="C737" s="72"/>
      <c r="D737" s="72"/>
      <c r="E737" s="72"/>
      <c r="F737" s="72"/>
      <c r="G737" s="72"/>
      <c r="H737" s="72"/>
      <c r="I737" s="72"/>
      <c r="J737" s="72"/>
    </row>
    <row r="738" spans="1:10" ht="15" x14ac:dyDescent="0.2">
      <c r="A738" s="72"/>
      <c r="B738" s="72"/>
      <c r="C738" s="72"/>
      <c r="D738" s="72"/>
      <c r="E738" s="72"/>
      <c r="F738" s="72"/>
      <c r="G738" s="72"/>
      <c r="H738" s="72"/>
      <c r="I738" s="72"/>
      <c r="J738" s="72"/>
    </row>
    <row r="739" spans="1:10" ht="15" x14ac:dyDescent="0.2">
      <c r="A739" s="72"/>
      <c r="B739" s="72"/>
      <c r="C739" s="72"/>
      <c r="D739" s="72"/>
      <c r="E739" s="72"/>
      <c r="F739" s="72"/>
      <c r="G739" s="72"/>
      <c r="H739" s="72"/>
      <c r="I739" s="72"/>
      <c r="J739" s="72"/>
    </row>
    <row r="740" spans="1:10" ht="15" x14ac:dyDescent="0.2">
      <c r="A740" s="72"/>
      <c r="B740" s="72"/>
      <c r="C740" s="72"/>
      <c r="D740" s="72"/>
      <c r="E740" s="72"/>
      <c r="F740" s="72"/>
      <c r="G740" s="72"/>
      <c r="H740" s="72"/>
      <c r="I740" s="72"/>
      <c r="J740" s="72"/>
    </row>
    <row r="741" spans="1:10" ht="15" x14ac:dyDescent="0.2">
      <c r="A741" s="72"/>
      <c r="B741" s="72"/>
      <c r="C741" s="72"/>
      <c r="D741" s="72"/>
      <c r="E741" s="72"/>
      <c r="F741" s="72"/>
      <c r="G741" s="72"/>
      <c r="H741" s="72"/>
      <c r="I741" s="72"/>
      <c r="J741" s="72"/>
    </row>
    <row r="742" spans="1:10" ht="15" x14ac:dyDescent="0.2">
      <c r="A742" s="72"/>
      <c r="B742" s="72"/>
      <c r="C742" s="72"/>
      <c r="D742" s="72"/>
      <c r="E742" s="72"/>
      <c r="F742" s="72"/>
      <c r="G742" s="72"/>
      <c r="H742" s="72"/>
      <c r="I742" s="72"/>
      <c r="J742" s="72"/>
    </row>
    <row r="743" spans="1:10" ht="15" x14ac:dyDescent="0.2">
      <c r="A743" s="72"/>
      <c r="B743" s="72"/>
      <c r="C743" s="72"/>
      <c r="D743" s="72"/>
      <c r="E743" s="72"/>
      <c r="F743" s="72"/>
      <c r="G743" s="72"/>
      <c r="H743" s="72"/>
      <c r="I743" s="72"/>
      <c r="J743" s="72"/>
    </row>
    <row r="744" spans="1:10" ht="15" x14ac:dyDescent="0.2">
      <c r="A744" s="72"/>
      <c r="B744" s="72"/>
      <c r="C744" s="72"/>
      <c r="D744" s="72"/>
      <c r="E744" s="72"/>
      <c r="F744" s="72"/>
      <c r="G744" s="72"/>
      <c r="H744" s="72"/>
      <c r="I744" s="72"/>
      <c r="J744" s="72"/>
    </row>
    <row r="745" spans="1:10" ht="15" x14ac:dyDescent="0.2">
      <c r="A745" s="72"/>
      <c r="B745" s="72"/>
      <c r="C745" s="72"/>
      <c r="D745" s="72"/>
      <c r="E745" s="72"/>
      <c r="F745" s="72"/>
      <c r="G745" s="72"/>
      <c r="H745" s="72"/>
      <c r="I745" s="72"/>
      <c r="J745" s="72"/>
    </row>
    <row r="746" spans="1:10" ht="15" x14ac:dyDescent="0.2">
      <c r="A746" s="72"/>
      <c r="B746" s="72"/>
      <c r="C746" s="72"/>
      <c r="D746" s="72"/>
      <c r="E746" s="72"/>
      <c r="F746" s="72"/>
      <c r="G746" s="72"/>
      <c r="H746" s="72"/>
      <c r="I746" s="72"/>
      <c r="J746" s="72"/>
    </row>
    <row r="747" spans="1:10" ht="15" x14ac:dyDescent="0.2">
      <c r="A747" s="72"/>
      <c r="B747" s="72"/>
      <c r="C747" s="72"/>
      <c r="D747" s="72"/>
      <c r="E747" s="72"/>
      <c r="F747" s="72"/>
      <c r="G747" s="72"/>
      <c r="H747" s="72"/>
      <c r="I747" s="72"/>
      <c r="J747" s="72"/>
    </row>
    <row r="748" spans="1:10" ht="15" x14ac:dyDescent="0.2">
      <c r="A748" s="72"/>
      <c r="B748" s="72"/>
      <c r="C748" s="72"/>
      <c r="D748" s="72"/>
      <c r="E748" s="72"/>
      <c r="F748" s="72"/>
      <c r="G748" s="72"/>
      <c r="H748" s="72"/>
      <c r="I748" s="72"/>
      <c r="J748" s="72"/>
    </row>
    <row r="749" spans="1:10" ht="15" x14ac:dyDescent="0.2">
      <c r="A749" s="72"/>
      <c r="B749" s="72"/>
      <c r="C749" s="72"/>
      <c r="D749" s="72"/>
      <c r="E749" s="72"/>
      <c r="F749" s="72"/>
      <c r="G749" s="72"/>
      <c r="H749" s="72"/>
      <c r="I749" s="72"/>
      <c r="J749" s="72"/>
    </row>
    <row r="750" spans="1:10" ht="15" x14ac:dyDescent="0.2">
      <c r="A750" s="72"/>
      <c r="B750" s="72"/>
      <c r="C750" s="72"/>
      <c r="D750" s="72"/>
      <c r="E750" s="72"/>
      <c r="F750" s="72"/>
      <c r="G750" s="72"/>
      <c r="H750" s="72"/>
      <c r="I750" s="72"/>
      <c r="J750" s="72"/>
    </row>
    <row r="751" spans="1:10" ht="15" x14ac:dyDescent="0.2">
      <c r="A751" s="72"/>
      <c r="B751" s="72"/>
      <c r="C751" s="72"/>
      <c r="D751" s="72"/>
      <c r="E751" s="72"/>
      <c r="F751" s="72"/>
      <c r="G751" s="72"/>
      <c r="H751" s="72"/>
      <c r="I751" s="72"/>
      <c r="J751" s="72"/>
    </row>
    <row r="752" spans="1:10" ht="15" x14ac:dyDescent="0.2">
      <c r="A752" s="72"/>
      <c r="B752" s="72"/>
      <c r="C752" s="72"/>
      <c r="D752" s="72"/>
      <c r="E752" s="72"/>
      <c r="F752" s="72"/>
      <c r="G752" s="72"/>
      <c r="H752" s="72"/>
      <c r="I752" s="72"/>
      <c r="J752" s="72"/>
    </row>
    <row r="753" spans="1:10" ht="15" x14ac:dyDescent="0.2">
      <c r="A753" s="72"/>
      <c r="B753" s="72"/>
      <c r="C753" s="72"/>
      <c r="D753" s="72"/>
      <c r="E753" s="72"/>
      <c r="F753" s="72"/>
      <c r="G753" s="72"/>
      <c r="H753" s="72"/>
      <c r="I753" s="72"/>
      <c r="J753" s="72"/>
    </row>
    <row r="754" spans="1:10" ht="15" x14ac:dyDescent="0.2">
      <c r="A754" s="72"/>
      <c r="B754" s="72"/>
      <c r="C754" s="72"/>
      <c r="D754" s="72"/>
      <c r="E754" s="72"/>
      <c r="F754" s="72"/>
      <c r="G754" s="72"/>
      <c r="H754" s="72"/>
      <c r="I754" s="72"/>
      <c r="J754" s="72"/>
    </row>
    <row r="755" spans="1:10" ht="15" x14ac:dyDescent="0.2">
      <c r="A755" s="72"/>
      <c r="B755" s="72"/>
      <c r="C755" s="72"/>
      <c r="D755" s="72"/>
      <c r="E755" s="72"/>
      <c r="F755" s="72"/>
      <c r="G755" s="72"/>
      <c r="H755" s="72"/>
      <c r="I755" s="72"/>
      <c r="J755" s="72"/>
    </row>
    <row r="756" spans="1:10" ht="15" x14ac:dyDescent="0.2">
      <c r="A756" s="72"/>
      <c r="B756" s="72"/>
      <c r="C756" s="72"/>
      <c r="D756" s="72"/>
      <c r="E756" s="72"/>
      <c r="F756" s="72"/>
      <c r="G756" s="72"/>
      <c r="H756" s="72"/>
      <c r="I756" s="72"/>
      <c r="J756" s="72"/>
    </row>
    <row r="757" spans="1:10" ht="15" x14ac:dyDescent="0.2">
      <c r="A757" s="72"/>
      <c r="B757" s="72"/>
      <c r="C757" s="72"/>
      <c r="D757" s="72"/>
      <c r="E757" s="72"/>
      <c r="F757" s="72"/>
      <c r="G757" s="72"/>
      <c r="H757" s="72"/>
      <c r="I757" s="72"/>
      <c r="J757" s="72"/>
    </row>
    <row r="758" spans="1:10" ht="15" x14ac:dyDescent="0.2">
      <c r="A758" s="72"/>
      <c r="B758" s="72"/>
      <c r="C758" s="72"/>
      <c r="D758" s="72"/>
      <c r="E758" s="72"/>
      <c r="F758" s="72"/>
      <c r="G758" s="72"/>
      <c r="H758" s="72"/>
      <c r="I758" s="72"/>
      <c r="J758" s="72"/>
    </row>
    <row r="759" spans="1:10" ht="15" x14ac:dyDescent="0.2">
      <c r="A759" s="72"/>
      <c r="B759" s="72"/>
      <c r="C759" s="72"/>
      <c r="D759" s="72"/>
      <c r="E759" s="72"/>
      <c r="F759" s="72"/>
      <c r="G759" s="72"/>
      <c r="H759" s="72"/>
      <c r="I759" s="72"/>
      <c r="J759" s="72"/>
    </row>
    <row r="760" spans="1:10" ht="15" x14ac:dyDescent="0.2">
      <c r="A760" s="72"/>
      <c r="B760" s="72"/>
      <c r="C760" s="72"/>
      <c r="D760" s="72"/>
      <c r="E760" s="72"/>
      <c r="F760" s="72"/>
      <c r="G760" s="72"/>
      <c r="H760" s="72"/>
      <c r="I760" s="72"/>
      <c r="J760" s="72"/>
    </row>
    <row r="761" spans="1:10" ht="15" x14ac:dyDescent="0.2">
      <c r="A761" s="72"/>
      <c r="B761" s="72"/>
      <c r="C761" s="72"/>
      <c r="D761" s="72"/>
      <c r="E761" s="72"/>
      <c r="F761" s="72"/>
      <c r="G761" s="72"/>
      <c r="H761" s="72"/>
      <c r="I761" s="72"/>
      <c r="J761" s="72"/>
    </row>
    <row r="762" spans="1:10" ht="15" x14ac:dyDescent="0.2">
      <c r="A762" s="72"/>
      <c r="B762" s="72"/>
      <c r="C762" s="72"/>
      <c r="D762" s="72"/>
      <c r="E762" s="72"/>
      <c r="F762" s="72"/>
      <c r="G762" s="72"/>
      <c r="H762" s="72"/>
      <c r="I762" s="72"/>
      <c r="J762" s="72"/>
    </row>
    <row r="763" spans="1:10" ht="15" x14ac:dyDescent="0.2">
      <c r="A763" s="72"/>
      <c r="B763" s="72"/>
      <c r="C763" s="72"/>
      <c r="D763" s="72"/>
      <c r="E763" s="72"/>
      <c r="F763" s="72"/>
      <c r="G763" s="72"/>
      <c r="H763" s="72"/>
      <c r="I763" s="72"/>
      <c r="J763" s="72"/>
    </row>
    <row r="764" spans="1:10" ht="15" x14ac:dyDescent="0.2">
      <c r="A764" s="72"/>
      <c r="B764" s="72"/>
      <c r="C764" s="72"/>
      <c r="D764" s="72"/>
      <c r="E764" s="72"/>
      <c r="F764" s="72"/>
      <c r="G764" s="72"/>
      <c r="H764" s="72"/>
      <c r="I764" s="72"/>
      <c r="J764" s="72"/>
    </row>
    <row r="765" spans="1:10" ht="15" x14ac:dyDescent="0.2">
      <c r="A765" s="72"/>
      <c r="B765" s="72"/>
      <c r="C765" s="72"/>
      <c r="D765" s="72"/>
      <c r="E765" s="72"/>
      <c r="F765" s="72"/>
      <c r="G765" s="72"/>
      <c r="H765" s="72"/>
      <c r="I765" s="72"/>
      <c r="J765" s="72"/>
    </row>
    <row r="766" spans="1:10" ht="15" x14ac:dyDescent="0.2">
      <c r="A766" s="72"/>
      <c r="B766" s="72"/>
      <c r="C766" s="72"/>
      <c r="D766" s="72"/>
      <c r="E766" s="72"/>
      <c r="F766" s="72"/>
      <c r="G766" s="72"/>
      <c r="H766" s="72"/>
      <c r="I766" s="72"/>
      <c r="J766" s="72"/>
    </row>
    <row r="767" spans="1:10" ht="15" x14ac:dyDescent="0.2">
      <c r="A767" s="72"/>
      <c r="B767" s="72"/>
      <c r="C767" s="72"/>
      <c r="D767" s="72"/>
      <c r="E767" s="72"/>
      <c r="F767" s="72"/>
      <c r="G767" s="72"/>
      <c r="H767" s="72"/>
      <c r="I767" s="72"/>
      <c r="J767" s="72"/>
    </row>
    <row r="768" spans="1:10" ht="15" x14ac:dyDescent="0.2">
      <c r="A768" s="72"/>
      <c r="B768" s="72"/>
      <c r="C768" s="72"/>
      <c r="D768" s="72"/>
      <c r="E768" s="72"/>
      <c r="F768" s="72"/>
      <c r="G768" s="72"/>
      <c r="H768" s="72"/>
      <c r="I768" s="72"/>
      <c r="J768" s="72"/>
    </row>
    <row r="769" spans="1:10" ht="15" x14ac:dyDescent="0.2">
      <c r="A769" s="72"/>
      <c r="B769" s="72"/>
      <c r="C769" s="72"/>
      <c r="D769" s="72"/>
      <c r="E769" s="72"/>
      <c r="F769" s="72"/>
      <c r="G769" s="72"/>
      <c r="H769" s="72"/>
      <c r="I769" s="72"/>
      <c r="J769" s="72"/>
    </row>
    <row r="770" spans="1:10" ht="15" x14ac:dyDescent="0.2">
      <c r="A770" s="72"/>
      <c r="B770" s="72"/>
      <c r="C770" s="72"/>
      <c r="D770" s="72"/>
      <c r="E770" s="72"/>
      <c r="F770" s="72"/>
      <c r="G770" s="72"/>
      <c r="H770" s="72"/>
      <c r="I770" s="72"/>
      <c r="J770" s="72"/>
    </row>
    <row r="771" spans="1:10" ht="15" x14ac:dyDescent="0.2">
      <c r="A771" s="72"/>
      <c r="B771" s="72"/>
      <c r="C771" s="72"/>
      <c r="D771" s="72"/>
      <c r="E771" s="72"/>
      <c r="F771" s="72"/>
      <c r="G771" s="72"/>
      <c r="H771" s="72"/>
      <c r="I771" s="72"/>
      <c r="J771" s="72"/>
    </row>
    <row r="772" spans="1:10" ht="15" x14ac:dyDescent="0.2">
      <c r="A772" s="72"/>
      <c r="B772" s="72"/>
      <c r="C772" s="72"/>
      <c r="D772" s="72"/>
      <c r="E772" s="72"/>
      <c r="F772" s="72"/>
      <c r="G772" s="72"/>
      <c r="H772" s="72"/>
      <c r="I772" s="72"/>
      <c r="J772" s="72"/>
    </row>
    <row r="773" spans="1:10" ht="15" x14ac:dyDescent="0.2">
      <c r="A773" s="72"/>
      <c r="B773" s="72"/>
      <c r="C773" s="72"/>
      <c r="D773" s="72"/>
      <c r="E773" s="72"/>
      <c r="F773" s="72"/>
      <c r="G773" s="72"/>
      <c r="H773" s="72"/>
      <c r="I773" s="72"/>
      <c r="J773" s="72"/>
    </row>
    <row r="774" spans="1:10" ht="15" x14ac:dyDescent="0.2">
      <c r="A774" s="72"/>
      <c r="B774" s="72"/>
      <c r="C774" s="72"/>
      <c r="D774" s="72"/>
      <c r="E774" s="72"/>
      <c r="F774" s="72"/>
      <c r="G774" s="72"/>
      <c r="H774" s="72"/>
      <c r="I774" s="72"/>
      <c r="J774" s="72"/>
    </row>
    <row r="775" spans="1:10" ht="15" x14ac:dyDescent="0.2">
      <c r="A775" s="72"/>
      <c r="B775" s="72"/>
      <c r="C775" s="72"/>
      <c r="D775" s="72"/>
      <c r="E775" s="72"/>
      <c r="F775" s="72"/>
      <c r="G775" s="72"/>
      <c r="H775" s="72"/>
      <c r="I775" s="72"/>
      <c r="J775" s="72"/>
    </row>
    <row r="776" spans="1:10" ht="15" x14ac:dyDescent="0.2">
      <c r="A776" s="72"/>
      <c r="B776" s="72"/>
      <c r="C776" s="72"/>
      <c r="D776" s="72"/>
      <c r="E776" s="72"/>
      <c r="F776" s="72"/>
      <c r="G776" s="72"/>
      <c r="H776" s="72"/>
      <c r="I776" s="72"/>
      <c r="J776" s="72"/>
    </row>
    <row r="777" spans="1:10" ht="15" x14ac:dyDescent="0.2">
      <c r="A777" s="72"/>
      <c r="B777" s="72"/>
      <c r="C777" s="72"/>
      <c r="D777" s="72"/>
      <c r="E777" s="72"/>
      <c r="F777" s="72"/>
      <c r="G777" s="72"/>
      <c r="H777" s="72"/>
      <c r="I777" s="72"/>
      <c r="J777" s="72"/>
    </row>
    <row r="778" spans="1:10" ht="15" x14ac:dyDescent="0.2">
      <c r="A778" s="72"/>
      <c r="B778" s="72"/>
      <c r="C778" s="72"/>
      <c r="D778" s="72"/>
      <c r="E778" s="72"/>
      <c r="F778" s="72"/>
      <c r="G778" s="72"/>
      <c r="H778" s="72"/>
      <c r="I778" s="72"/>
      <c r="J778" s="72"/>
    </row>
    <row r="779" spans="1:10" ht="15" x14ac:dyDescent="0.2">
      <c r="A779" s="72"/>
      <c r="B779" s="72"/>
      <c r="C779" s="72"/>
      <c r="D779" s="72"/>
      <c r="E779" s="72"/>
      <c r="F779" s="72"/>
      <c r="G779" s="72"/>
      <c r="H779" s="72"/>
      <c r="I779" s="72"/>
      <c r="J779" s="72"/>
    </row>
    <row r="780" spans="1:10" ht="15" x14ac:dyDescent="0.2">
      <c r="A780" s="72"/>
      <c r="B780" s="72"/>
      <c r="C780" s="72"/>
      <c r="D780" s="72"/>
      <c r="E780" s="72"/>
      <c r="F780" s="72"/>
      <c r="G780" s="72"/>
      <c r="H780" s="72"/>
      <c r="I780" s="72"/>
      <c r="J780" s="72"/>
    </row>
    <row r="781" spans="1:10" ht="15" x14ac:dyDescent="0.2">
      <c r="A781" s="72"/>
      <c r="B781" s="72"/>
      <c r="C781" s="72"/>
      <c r="D781" s="72"/>
      <c r="E781" s="72"/>
      <c r="F781" s="72"/>
      <c r="G781" s="72"/>
      <c r="H781" s="72"/>
      <c r="I781" s="72"/>
      <c r="J781" s="72"/>
    </row>
    <row r="782" spans="1:10" ht="15" x14ac:dyDescent="0.2">
      <c r="A782" s="72"/>
      <c r="B782" s="72"/>
      <c r="C782" s="72"/>
      <c r="D782" s="72"/>
      <c r="E782" s="72"/>
      <c r="F782" s="72"/>
      <c r="G782" s="72"/>
      <c r="H782" s="72"/>
      <c r="I782" s="72"/>
      <c r="J782" s="72"/>
    </row>
    <row r="783" spans="1:10" ht="15" x14ac:dyDescent="0.2">
      <c r="A783" s="72"/>
      <c r="B783" s="72"/>
      <c r="C783" s="72"/>
      <c r="D783" s="72"/>
      <c r="E783" s="72"/>
      <c r="F783" s="72"/>
      <c r="G783" s="72"/>
      <c r="H783" s="72"/>
      <c r="I783" s="72"/>
      <c r="J783" s="72"/>
    </row>
    <row r="784" spans="1:10" ht="15" x14ac:dyDescent="0.2">
      <c r="A784" s="72"/>
      <c r="B784" s="72"/>
      <c r="C784" s="72"/>
      <c r="D784" s="72"/>
      <c r="E784" s="72"/>
      <c r="F784" s="72"/>
      <c r="G784" s="72"/>
      <c r="H784" s="72"/>
      <c r="I784" s="72"/>
      <c r="J784" s="72"/>
    </row>
    <row r="785" spans="1:10" ht="15" x14ac:dyDescent="0.2">
      <c r="A785" s="72"/>
      <c r="B785" s="72"/>
      <c r="C785" s="72"/>
      <c r="D785" s="72"/>
      <c r="E785" s="72"/>
      <c r="F785" s="72"/>
      <c r="G785" s="72"/>
      <c r="H785" s="72"/>
      <c r="I785" s="72"/>
      <c r="J785" s="72"/>
    </row>
    <row r="786" spans="1:10" ht="15" x14ac:dyDescent="0.2">
      <c r="A786" s="72"/>
      <c r="B786" s="72"/>
      <c r="C786" s="72"/>
      <c r="D786" s="72"/>
      <c r="E786" s="72"/>
      <c r="F786" s="72"/>
      <c r="G786" s="72"/>
      <c r="H786" s="72"/>
      <c r="I786" s="72"/>
      <c r="J786" s="72"/>
    </row>
    <row r="787" spans="1:10" ht="15" x14ac:dyDescent="0.2">
      <c r="A787" s="72"/>
      <c r="B787" s="72"/>
      <c r="C787" s="72"/>
      <c r="D787" s="72"/>
      <c r="E787" s="72"/>
      <c r="F787" s="72"/>
      <c r="G787" s="72"/>
      <c r="H787" s="72"/>
      <c r="I787" s="72"/>
      <c r="J787" s="72"/>
    </row>
    <row r="788" spans="1:10" ht="15" x14ac:dyDescent="0.2">
      <c r="A788" s="72"/>
      <c r="B788" s="72"/>
      <c r="C788" s="72"/>
      <c r="D788" s="72"/>
      <c r="E788" s="72"/>
      <c r="F788" s="72"/>
      <c r="G788" s="72"/>
      <c r="H788" s="72"/>
      <c r="I788" s="72"/>
      <c r="J788" s="72"/>
    </row>
    <row r="789" spans="1:10" ht="15" x14ac:dyDescent="0.2">
      <c r="A789" s="72"/>
      <c r="B789" s="72"/>
      <c r="C789" s="72"/>
      <c r="D789" s="72"/>
      <c r="E789" s="72"/>
      <c r="F789" s="72"/>
      <c r="G789" s="72"/>
      <c r="H789" s="72"/>
      <c r="I789" s="72"/>
      <c r="J789" s="72"/>
    </row>
    <row r="790" spans="1:10" ht="15" x14ac:dyDescent="0.2">
      <c r="A790" s="72"/>
      <c r="B790" s="72"/>
      <c r="C790" s="72"/>
      <c r="D790" s="72"/>
      <c r="E790" s="72"/>
      <c r="F790" s="72"/>
      <c r="G790" s="72"/>
      <c r="H790" s="72"/>
      <c r="I790" s="72"/>
      <c r="J790" s="72"/>
    </row>
    <row r="791" spans="1:10" ht="15" x14ac:dyDescent="0.2">
      <c r="A791" s="72"/>
      <c r="B791" s="72"/>
      <c r="C791" s="72"/>
      <c r="D791" s="72"/>
      <c r="E791" s="72"/>
      <c r="F791" s="72"/>
      <c r="G791" s="72"/>
      <c r="H791" s="72"/>
      <c r="I791" s="72"/>
      <c r="J791" s="72"/>
    </row>
    <row r="792" spans="1:10" ht="15" x14ac:dyDescent="0.2">
      <c r="A792" s="72"/>
      <c r="B792" s="72"/>
      <c r="C792" s="72"/>
      <c r="D792" s="72"/>
      <c r="E792" s="72"/>
      <c r="F792" s="72"/>
      <c r="G792" s="72"/>
      <c r="H792" s="72"/>
      <c r="I792" s="72"/>
      <c r="J792" s="72"/>
    </row>
    <row r="793" spans="1:10" ht="15" x14ac:dyDescent="0.2">
      <c r="A793" s="72"/>
      <c r="B793" s="72"/>
      <c r="C793" s="72"/>
      <c r="D793" s="72"/>
      <c r="E793" s="72"/>
      <c r="F793" s="72"/>
      <c r="G793" s="72"/>
      <c r="H793" s="72"/>
      <c r="I793" s="72"/>
      <c r="J793" s="72"/>
    </row>
    <row r="794" spans="1:10" ht="15" x14ac:dyDescent="0.2">
      <c r="A794" s="72"/>
      <c r="B794" s="72"/>
      <c r="C794" s="72"/>
      <c r="D794" s="72"/>
      <c r="E794" s="72"/>
      <c r="F794" s="72"/>
      <c r="G794" s="72"/>
      <c r="H794" s="72"/>
      <c r="I794" s="72"/>
      <c r="J794" s="72"/>
    </row>
    <row r="795" spans="1:10" ht="15" x14ac:dyDescent="0.2">
      <c r="A795" s="72"/>
      <c r="B795" s="72"/>
      <c r="C795" s="72"/>
      <c r="D795" s="72"/>
      <c r="E795" s="72"/>
      <c r="F795" s="72"/>
      <c r="G795" s="72"/>
      <c r="H795" s="72"/>
      <c r="I795" s="72"/>
      <c r="J795" s="72"/>
    </row>
    <row r="796" spans="1:10" ht="15" x14ac:dyDescent="0.2">
      <c r="A796" s="72"/>
      <c r="B796" s="72"/>
      <c r="C796" s="72"/>
      <c r="D796" s="72"/>
      <c r="E796" s="72"/>
      <c r="F796" s="72"/>
      <c r="G796" s="72"/>
      <c r="H796" s="72"/>
      <c r="I796" s="72"/>
      <c r="J796" s="72"/>
    </row>
    <row r="797" spans="1:10" ht="15" x14ac:dyDescent="0.2">
      <c r="A797" s="72"/>
      <c r="B797" s="72"/>
      <c r="C797" s="72"/>
      <c r="D797" s="72"/>
      <c r="E797" s="72"/>
      <c r="F797" s="72"/>
      <c r="G797" s="72"/>
      <c r="H797" s="72"/>
      <c r="I797" s="72"/>
      <c r="J797" s="72"/>
    </row>
    <row r="798" spans="1:10" ht="15" x14ac:dyDescent="0.2">
      <c r="A798" s="72"/>
      <c r="B798" s="72"/>
      <c r="C798" s="72"/>
      <c r="D798" s="72"/>
      <c r="E798" s="72"/>
      <c r="F798" s="72"/>
      <c r="G798" s="72"/>
      <c r="H798" s="72"/>
      <c r="I798" s="72"/>
      <c r="J798" s="72"/>
    </row>
    <row r="799" spans="1:10" ht="15" x14ac:dyDescent="0.2">
      <c r="A799" s="72"/>
      <c r="B799" s="72"/>
      <c r="C799" s="72"/>
      <c r="D799" s="72"/>
      <c r="E799" s="72"/>
      <c r="F799" s="72"/>
      <c r="G799" s="72"/>
      <c r="H799" s="72"/>
      <c r="I799" s="72"/>
      <c r="J799" s="72"/>
    </row>
    <row r="800" spans="1:10" ht="15" x14ac:dyDescent="0.2">
      <c r="A800" s="72"/>
      <c r="B800" s="72"/>
      <c r="C800" s="72"/>
      <c r="D800" s="72"/>
      <c r="E800" s="72"/>
      <c r="F800" s="72"/>
      <c r="G800" s="72"/>
      <c r="H800" s="72"/>
      <c r="I800" s="72"/>
      <c r="J800" s="72"/>
    </row>
    <row r="801" spans="1:10" ht="15" x14ac:dyDescent="0.2">
      <c r="A801" s="72"/>
      <c r="B801" s="72"/>
      <c r="C801" s="72"/>
      <c r="D801" s="72"/>
      <c r="E801" s="72"/>
      <c r="F801" s="72"/>
      <c r="G801" s="72"/>
      <c r="H801" s="72"/>
      <c r="I801" s="72"/>
      <c r="J801" s="72"/>
    </row>
    <row r="802" spans="1:10" ht="15" x14ac:dyDescent="0.2">
      <c r="A802" s="72"/>
      <c r="B802" s="72"/>
      <c r="C802" s="72"/>
      <c r="D802" s="72"/>
      <c r="E802" s="72"/>
      <c r="F802" s="72"/>
      <c r="G802" s="72"/>
      <c r="H802" s="72"/>
      <c r="I802" s="72"/>
      <c r="J802" s="72"/>
    </row>
    <row r="803" spans="1:10" ht="15" x14ac:dyDescent="0.2">
      <c r="A803" s="72"/>
      <c r="B803" s="72"/>
      <c r="C803" s="72"/>
      <c r="D803" s="72"/>
      <c r="E803" s="72"/>
      <c r="F803" s="72"/>
      <c r="G803" s="72"/>
      <c r="H803" s="72"/>
      <c r="I803" s="72"/>
      <c r="J803" s="72"/>
    </row>
    <row r="804" spans="1:10" ht="15" x14ac:dyDescent="0.2">
      <c r="A804" s="72"/>
      <c r="B804" s="72"/>
      <c r="C804" s="72"/>
      <c r="D804" s="72"/>
      <c r="E804" s="72"/>
      <c r="F804" s="72"/>
      <c r="G804" s="72"/>
      <c r="H804" s="72"/>
      <c r="I804" s="72"/>
      <c r="J804" s="72"/>
    </row>
    <row r="805" spans="1:10" ht="15" x14ac:dyDescent="0.2">
      <c r="A805" s="72"/>
      <c r="B805" s="72"/>
      <c r="C805" s="72"/>
      <c r="D805" s="72"/>
      <c r="E805" s="72"/>
      <c r="F805" s="72"/>
      <c r="G805" s="72"/>
      <c r="H805" s="72"/>
      <c r="I805" s="72"/>
      <c r="J805" s="72"/>
    </row>
    <row r="806" spans="1:10" ht="15" x14ac:dyDescent="0.2">
      <c r="A806" s="72"/>
      <c r="B806" s="72"/>
      <c r="C806" s="72"/>
      <c r="D806" s="72"/>
      <c r="E806" s="72"/>
      <c r="F806" s="72"/>
      <c r="G806" s="72"/>
      <c r="H806" s="72"/>
      <c r="I806" s="72"/>
      <c r="J806" s="72"/>
    </row>
    <row r="807" spans="1:10" ht="15" x14ac:dyDescent="0.2">
      <c r="A807" s="72"/>
      <c r="B807" s="72"/>
      <c r="C807" s="72"/>
      <c r="D807" s="72"/>
      <c r="E807" s="72"/>
      <c r="F807" s="72"/>
      <c r="G807" s="72"/>
      <c r="H807" s="72"/>
      <c r="I807" s="72"/>
      <c r="J807" s="72"/>
    </row>
    <row r="808" spans="1:10" ht="15" x14ac:dyDescent="0.2">
      <c r="A808" s="72"/>
      <c r="B808" s="72"/>
      <c r="C808" s="72"/>
      <c r="D808" s="72"/>
      <c r="E808" s="72"/>
      <c r="F808" s="72"/>
      <c r="G808" s="72"/>
      <c r="H808" s="72"/>
      <c r="I808" s="72"/>
      <c r="J808" s="72"/>
    </row>
    <row r="809" spans="1:10" ht="15" x14ac:dyDescent="0.2">
      <c r="A809" s="72"/>
      <c r="B809" s="72"/>
      <c r="C809" s="72"/>
      <c r="D809" s="72"/>
      <c r="E809" s="72"/>
      <c r="F809" s="72"/>
      <c r="G809" s="72"/>
      <c r="H809" s="72"/>
      <c r="I809" s="72"/>
      <c r="J809" s="72"/>
    </row>
    <row r="810" spans="1:10" ht="15" x14ac:dyDescent="0.2">
      <c r="A810" s="72"/>
      <c r="B810" s="72"/>
      <c r="C810" s="72"/>
      <c r="D810" s="72"/>
      <c r="E810" s="72"/>
      <c r="F810" s="72"/>
      <c r="G810" s="72"/>
      <c r="H810" s="72"/>
      <c r="I810" s="72"/>
      <c r="J810" s="72"/>
    </row>
    <row r="811" spans="1:10" ht="15" x14ac:dyDescent="0.2">
      <c r="A811" s="72"/>
      <c r="B811" s="72"/>
      <c r="C811" s="72"/>
      <c r="D811" s="72"/>
      <c r="E811" s="72"/>
      <c r="F811" s="72"/>
      <c r="G811" s="72"/>
      <c r="H811" s="72"/>
      <c r="I811" s="72"/>
      <c r="J811" s="72"/>
    </row>
    <row r="812" spans="1:10" ht="15" x14ac:dyDescent="0.2">
      <c r="A812" s="72"/>
      <c r="B812" s="72"/>
      <c r="C812" s="72"/>
      <c r="D812" s="72"/>
      <c r="E812" s="72"/>
      <c r="F812" s="72"/>
      <c r="G812" s="72"/>
      <c r="H812" s="72"/>
      <c r="I812" s="72"/>
      <c r="J812" s="72"/>
    </row>
    <row r="813" spans="1:10" ht="15" x14ac:dyDescent="0.2">
      <c r="A813" s="72"/>
      <c r="B813" s="72"/>
      <c r="C813" s="72"/>
      <c r="D813" s="72"/>
      <c r="E813" s="72"/>
      <c r="F813" s="72"/>
      <c r="G813" s="72"/>
      <c r="H813" s="72"/>
      <c r="I813" s="72"/>
      <c r="J813" s="72"/>
    </row>
    <row r="814" spans="1:10" ht="15" x14ac:dyDescent="0.2">
      <c r="A814" s="72"/>
      <c r="B814" s="72"/>
      <c r="C814" s="72"/>
      <c r="D814" s="72"/>
      <c r="E814" s="72"/>
      <c r="F814" s="72"/>
      <c r="G814" s="72"/>
      <c r="H814" s="72"/>
      <c r="I814" s="72"/>
      <c r="J814" s="72"/>
    </row>
    <row r="815" spans="1:10" ht="15" x14ac:dyDescent="0.2">
      <c r="A815" s="72"/>
      <c r="B815" s="72"/>
      <c r="C815" s="72"/>
      <c r="D815" s="72"/>
      <c r="E815" s="72"/>
      <c r="F815" s="72"/>
      <c r="G815" s="72"/>
      <c r="H815" s="72"/>
      <c r="I815" s="72"/>
      <c r="J815" s="72"/>
    </row>
    <row r="816" spans="1:10" ht="15" x14ac:dyDescent="0.2">
      <c r="A816" s="72"/>
      <c r="B816" s="72"/>
      <c r="C816" s="72"/>
      <c r="D816" s="72"/>
      <c r="E816" s="72"/>
      <c r="F816" s="72"/>
      <c r="G816" s="72"/>
      <c r="H816" s="72"/>
      <c r="I816" s="72"/>
      <c r="J816" s="72"/>
    </row>
    <row r="817" spans="1:10" ht="15" x14ac:dyDescent="0.2">
      <c r="A817" s="72"/>
      <c r="B817" s="72"/>
      <c r="C817" s="72"/>
      <c r="D817" s="72"/>
      <c r="E817" s="72"/>
      <c r="F817" s="72"/>
      <c r="G817" s="72"/>
      <c r="H817" s="72"/>
      <c r="I817" s="72"/>
      <c r="J817" s="72"/>
    </row>
    <row r="818" spans="1:10" ht="15" x14ac:dyDescent="0.2">
      <c r="A818" s="72"/>
      <c r="B818" s="72"/>
      <c r="C818" s="72"/>
      <c r="D818" s="72"/>
      <c r="E818" s="72"/>
      <c r="F818" s="72"/>
      <c r="G818" s="72"/>
      <c r="H818" s="72"/>
      <c r="I818" s="72"/>
      <c r="J818" s="72"/>
    </row>
    <row r="819" spans="1:10" ht="15" x14ac:dyDescent="0.2">
      <c r="A819" s="72"/>
      <c r="B819" s="72"/>
      <c r="C819" s="72"/>
      <c r="D819" s="72"/>
      <c r="E819" s="72"/>
      <c r="F819" s="72"/>
      <c r="G819" s="72"/>
      <c r="H819" s="72"/>
      <c r="I819" s="72"/>
      <c r="J819" s="72"/>
    </row>
    <row r="820" spans="1:10" ht="15" x14ac:dyDescent="0.2">
      <c r="A820" s="72"/>
      <c r="B820" s="72"/>
      <c r="C820" s="72"/>
      <c r="D820" s="72"/>
      <c r="E820" s="72"/>
      <c r="F820" s="72"/>
      <c r="G820" s="72"/>
      <c r="H820" s="72"/>
      <c r="I820" s="72"/>
      <c r="J820" s="72"/>
    </row>
    <row r="821" spans="1:10" ht="15" x14ac:dyDescent="0.2">
      <c r="A821" s="72"/>
      <c r="B821" s="72"/>
      <c r="C821" s="72"/>
      <c r="D821" s="72"/>
      <c r="E821" s="72"/>
      <c r="F821" s="72"/>
      <c r="G821" s="72"/>
      <c r="H821" s="72"/>
      <c r="I821" s="72"/>
      <c r="J821" s="72"/>
    </row>
    <row r="822" spans="1:10" ht="15" x14ac:dyDescent="0.2">
      <c r="A822" s="72"/>
      <c r="B822" s="72"/>
      <c r="C822" s="72"/>
      <c r="D822" s="72"/>
      <c r="E822" s="72"/>
      <c r="F822" s="72"/>
      <c r="G822" s="72"/>
      <c r="H822" s="72"/>
      <c r="I822" s="72"/>
      <c r="J822" s="72"/>
    </row>
    <row r="823" spans="1:10" ht="15" x14ac:dyDescent="0.2">
      <c r="A823" s="72"/>
      <c r="B823" s="72"/>
      <c r="C823" s="72"/>
      <c r="D823" s="72"/>
      <c r="E823" s="72"/>
      <c r="F823" s="72"/>
      <c r="G823" s="72"/>
      <c r="H823" s="72"/>
      <c r="I823" s="72"/>
      <c r="J823" s="72"/>
    </row>
    <row r="824" spans="1:10" ht="15" x14ac:dyDescent="0.2">
      <c r="A824" s="72"/>
      <c r="B824" s="72"/>
      <c r="C824" s="72"/>
      <c r="D824" s="72"/>
      <c r="E824" s="72"/>
      <c r="F824" s="72"/>
      <c r="G824" s="72"/>
      <c r="H824" s="72"/>
      <c r="I824" s="72"/>
      <c r="J824" s="72"/>
    </row>
    <row r="825" spans="1:10" ht="15" x14ac:dyDescent="0.2">
      <c r="A825" s="72"/>
      <c r="B825" s="72"/>
      <c r="C825" s="72"/>
      <c r="D825" s="72"/>
      <c r="E825" s="72"/>
      <c r="F825" s="72"/>
      <c r="G825" s="72"/>
      <c r="H825" s="72"/>
      <c r="I825" s="72"/>
      <c r="J825" s="72"/>
    </row>
    <row r="826" spans="1:10" ht="15" x14ac:dyDescent="0.2">
      <c r="A826" s="72"/>
      <c r="B826" s="72"/>
      <c r="C826" s="72"/>
      <c r="D826" s="72"/>
      <c r="E826" s="72"/>
      <c r="F826" s="72"/>
      <c r="G826" s="72"/>
      <c r="H826" s="72"/>
      <c r="I826" s="72"/>
      <c r="J826" s="72"/>
    </row>
    <row r="827" spans="1:10" ht="15" x14ac:dyDescent="0.2">
      <c r="A827" s="72"/>
      <c r="B827" s="72"/>
      <c r="C827" s="72"/>
      <c r="D827" s="72"/>
      <c r="E827" s="72"/>
      <c r="F827" s="72"/>
      <c r="G827" s="72"/>
      <c r="H827" s="72"/>
      <c r="I827" s="72"/>
      <c r="J827" s="72"/>
    </row>
    <row r="828" spans="1:10" ht="15" x14ac:dyDescent="0.2">
      <c r="A828" s="72"/>
      <c r="B828" s="72"/>
      <c r="C828" s="72"/>
      <c r="D828" s="72"/>
      <c r="E828" s="72"/>
      <c r="F828" s="72"/>
      <c r="G828" s="72"/>
      <c r="H828" s="72"/>
      <c r="I828" s="72"/>
      <c r="J828" s="72"/>
    </row>
    <row r="829" spans="1:10" ht="15" x14ac:dyDescent="0.2">
      <c r="A829" s="72"/>
      <c r="B829" s="72"/>
      <c r="C829" s="72"/>
      <c r="D829" s="72"/>
      <c r="E829" s="72"/>
      <c r="F829" s="72"/>
      <c r="G829" s="72"/>
      <c r="H829" s="72"/>
      <c r="I829" s="72"/>
      <c r="J829" s="72"/>
    </row>
    <row r="830" spans="1:10" ht="15" x14ac:dyDescent="0.2">
      <c r="A830" s="72"/>
      <c r="B830" s="72"/>
      <c r="C830" s="72"/>
      <c r="D830" s="72"/>
      <c r="E830" s="72"/>
      <c r="F830" s="72"/>
      <c r="G830" s="72"/>
      <c r="H830" s="72"/>
      <c r="I830" s="72"/>
      <c r="J830" s="72"/>
    </row>
    <row r="831" spans="1:10" ht="15" x14ac:dyDescent="0.2">
      <c r="A831" s="72"/>
      <c r="B831" s="72"/>
      <c r="C831" s="72"/>
      <c r="D831" s="72"/>
      <c r="E831" s="72"/>
      <c r="F831" s="72"/>
      <c r="G831" s="72"/>
      <c r="H831" s="72"/>
      <c r="I831" s="72"/>
      <c r="J831" s="72"/>
    </row>
    <row r="832" spans="1:10" ht="15" x14ac:dyDescent="0.2">
      <c r="A832" s="72"/>
      <c r="B832" s="72"/>
      <c r="C832" s="72"/>
      <c r="D832" s="72"/>
      <c r="E832" s="72"/>
      <c r="F832" s="72"/>
      <c r="G832" s="72"/>
      <c r="H832" s="72"/>
      <c r="I832" s="72"/>
      <c r="J832" s="72"/>
    </row>
    <row r="833" spans="1:10" ht="15" x14ac:dyDescent="0.2">
      <c r="A833" s="72"/>
      <c r="B833" s="72"/>
      <c r="C833" s="72"/>
      <c r="D833" s="72"/>
      <c r="E833" s="72"/>
      <c r="F833" s="72"/>
      <c r="G833" s="72"/>
      <c r="H833" s="72"/>
      <c r="I833" s="72"/>
      <c r="J833" s="72"/>
    </row>
    <row r="834" spans="1:10" ht="15" x14ac:dyDescent="0.2">
      <c r="A834" s="72"/>
      <c r="B834" s="72"/>
      <c r="C834" s="72"/>
      <c r="D834" s="72"/>
      <c r="E834" s="72"/>
      <c r="F834" s="72"/>
      <c r="G834" s="72"/>
      <c r="H834" s="72"/>
      <c r="I834" s="72"/>
      <c r="J834" s="72"/>
    </row>
    <row r="835" spans="1:10" ht="15" x14ac:dyDescent="0.2">
      <c r="A835" s="72"/>
      <c r="B835" s="72"/>
      <c r="C835" s="72"/>
      <c r="D835" s="72"/>
      <c r="E835" s="72"/>
      <c r="F835" s="72"/>
      <c r="G835" s="72"/>
      <c r="H835" s="72"/>
      <c r="I835" s="72"/>
      <c r="J835" s="72"/>
    </row>
    <row r="836" spans="1:10" ht="15" x14ac:dyDescent="0.2">
      <c r="A836" s="72"/>
      <c r="B836" s="72"/>
      <c r="C836" s="72"/>
      <c r="D836" s="72"/>
      <c r="E836" s="72"/>
      <c r="F836" s="72"/>
      <c r="G836" s="72"/>
      <c r="H836" s="72"/>
      <c r="I836" s="72"/>
      <c r="J836" s="72"/>
    </row>
    <row r="837" spans="1:10" ht="15" x14ac:dyDescent="0.2">
      <c r="A837" s="72"/>
      <c r="B837" s="72"/>
      <c r="C837" s="72"/>
      <c r="D837" s="72"/>
      <c r="E837" s="72"/>
      <c r="F837" s="72"/>
      <c r="G837" s="72"/>
      <c r="H837" s="72"/>
      <c r="I837" s="72"/>
      <c r="J837" s="72"/>
    </row>
    <row r="838" spans="1:10" ht="15" x14ac:dyDescent="0.2">
      <c r="A838" s="72"/>
      <c r="B838" s="72"/>
      <c r="C838" s="72"/>
      <c r="D838" s="72"/>
      <c r="E838" s="72"/>
      <c r="F838" s="72"/>
      <c r="G838" s="72"/>
      <c r="H838" s="72"/>
      <c r="I838" s="72"/>
      <c r="J838" s="72"/>
    </row>
    <row r="839" spans="1:10" ht="15" x14ac:dyDescent="0.2">
      <c r="A839" s="72"/>
      <c r="B839" s="72"/>
      <c r="C839" s="72"/>
      <c r="D839" s="72"/>
      <c r="E839" s="72"/>
      <c r="F839" s="72"/>
      <c r="G839" s="72"/>
      <c r="H839" s="72"/>
      <c r="I839" s="72"/>
      <c r="J839" s="72"/>
    </row>
    <row r="840" spans="1:10" ht="15" x14ac:dyDescent="0.2">
      <c r="A840" s="72"/>
      <c r="B840" s="72"/>
      <c r="C840" s="72"/>
      <c r="D840" s="72"/>
      <c r="E840" s="72"/>
      <c r="F840" s="72"/>
      <c r="G840" s="72"/>
      <c r="H840" s="72"/>
      <c r="I840" s="72"/>
      <c r="J840" s="72"/>
    </row>
    <row r="841" spans="1:10" ht="15" x14ac:dyDescent="0.2">
      <c r="A841" s="72"/>
      <c r="B841" s="72"/>
      <c r="C841" s="72"/>
      <c r="D841" s="72"/>
      <c r="E841" s="72"/>
      <c r="F841" s="72"/>
      <c r="G841" s="72"/>
      <c r="H841" s="72"/>
      <c r="I841" s="72"/>
      <c r="J841" s="72"/>
    </row>
    <row r="842" spans="1:10" ht="15" x14ac:dyDescent="0.2">
      <c r="A842" s="72"/>
      <c r="B842" s="72"/>
      <c r="C842" s="72"/>
      <c r="D842" s="72"/>
      <c r="E842" s="72"/>
      <c r="F842" s="72"/>
      <c r="G842" s="72"/>
      <c r="H842" s="72"/>
      <c r="I842" s="72"/>
      <c r="J842" s="72"/>
    </row>
    <row r="843" spans="1:10" ht="15" x14ac:dyDescent="0.2">
      <c r="A843" s="72"/>
      <c r="B843" s="72"/>
      <c r="C843" s="72"/>
      <c r="D843" s="72"/>
      <c r="E843" s="72"/>
      <c r="F843" s="72"/>
      <c r="G843" s="72"/>
      <c r="H843" s="72"/>
      <c r="I843" s="72"/>
      <c r="J843" s="72"/>
    </row>
    <row r="844" spans="1:10" ht="15" x14ac:dyDescent="0.2">
      <c r="A844" s="72"/>
      <c r="B844" s="72"/>
      <c r="C844" s="72"/>
      <c r="D844" s="72"/>
      <c r="E844" s="72"/>
      <c r="F844" s="72"/>
      <c r="G844" s="72"/>
      <c r="H844" s="72"/>
      <c r="I844" s="72"/>
      <c r="J844" s="72"/>
    </row>
    <row r="845" spans="1:10" ht="15" x14ac:dyDescent="0.2">
      <c r="A845" s="72"/>
      <c r="B845" s="72"/>
      <c r="C845" s="72"/>
      <c r="D845" s="72"/>
      <c r="E845" s="72"/>
      <c r="F845" s="72"/>
      <c r="G845" s="72"/>
      <c r="H845" s="72"/>
      <c r="I845" s="72"/>
      <c r="J845" s="72"/>
    </row>
    <row r="846" spans="1:10" ht="15" x14ac:dyDescent="0.2">
      <c r="A846" s="72"/>
      <c r="B846" s="72"/>
      <c r="C846" s="72"/>
      <c r="D846" s="72"/>
      <c r="E846" s="72"/>
      <c r="F846" s="72"/>
      <c r="G846" s="72"/>
      <c r="H846" s="72"/>
      <c r="I846" s="72"/>
      <c r="J846" s="72"/>
    </row>
    <row r="847" spans="1:10" ht="15" x14ac:dyDescent="0.2">
      <c r="A847" s="72"/>
      <c r="B847" s="72"/>
      <c r="C847" s="72"/>
      <c r="D847" s="72"/>
      <c r="E847" s="72"/>
      <c r="F847" s="72"/>
      <c r="G847" s="72"/>
      <c r="H847" s="72"/>
      <c r="I847" s="72"/>
      <c r="J847" s="72"/>
    </row>
    <row r="848" spans="1:10" ht="15" x14ac:dyDescent="0.2">
      <c r="A848" s="72"/>
      <c r="B848" s="72"/>
      <c r="C848" s="72"/>
      <c r="D848" s="72"/>
      <c r="E848" s="72"/>
      <c r="F848" s="72"/>
      <c r="G848" s="72"/>
      <c r="H848" s="72"/>
      <c r="I848" s="72"/>
      <c r="J848" s="72"/>
    </row>
    <row r="849" spans="1:10" ht="15" x14ac:dyDescent="0.2">
      <c r="A849" s="72"/>
      <c r="B849" s="72"/>
      <c r="C849" s="72"/>
      <c r="D849" s="72"/>
      <c r="E849" s="72"/>
      <c r="F849" s="72"/>
      <c r="G849" s="72"/>
      <c r="H849" s="72"/>
      <c r="I849" s="72"/>
      <c r="J849" s="72"/>
    </row>
    <row r="850" spans="1:10" ht="15" x14ac:dyDescent="0.2">
      <c r="A850" s="72"/>
      <c r="B850" s="72"/>
      <c r="C850" s="72"/>
      <c r="D850" s="72"/>
      <c r="E850" s="72"/>
      <c r="F850" s="72"/>
      <c r="G850" s="72"/>
      <c r="H850" s="72"/>
      <c r="I850" s="72"/>
      <c r="J850" s="72"/>
    </row>
    <row r="851" spans="1:10" ht="15" x14ac:dyDescent="0.2">
      <c r="A851" s="72"/>
      <c r="B851" s="72"/>
      <c r="C851" s="72"/>
      <c r="D851" s="72"/>
      <c r="E851" s="72"/>
      <c r="F851" s="72"/>
      <c r="G851" s="72"/>
      <c r="H851" s="72"/>
      <c r="I851" s="72"/>
      <c r="J851" s="72"/>
    </row>
    <row r="852" spans="1:10" ht="15" x14ac:dyDescent="0.2">
      <c r="A852" s="72"/>
      <c r="B852" s="72"/>
      <c r="C852" s="72"/>
      <c r="D852" s="72"/>
      <c r="E852" s="72"/>
      <c r="F852" s="72"/>
      <c r="G852" s="72"/>
      <c r="H852" s="72"/>
      <c r="I852" s="72"/>
      <c r="J852" s="72"/>
    </row>
    <row r="853" spans="1:10" ht="15" x14ac:dyDescent="0.2">
      <c r="A853" s="72"/>
      <c r="B853" s="72"/>
      <c r="C853" s="72"/>
      <c r="D853" s="72"/>
      <c r="E853" s="72"/>
      <c r="F853" s="72"/>
      <c r="G853" s="72"/>
      <c r="H853" s="72"/>
      <c r="I853" s="72"/>
      <c r="J853" s="72"/>
    </row>
    <row r="854" spans="1:10" ht="15" x14ac:dyDescent="0.2">
      <c r="A854" s="72"/>
      <c r="B854" s="72"/>
      <c r="C854" s="72"/>
      <c r="D854" s="72"/>
      <c r="E854" s="72"/>
      <c r="F854" s="72"/>
      <c r="G854" s="72"/>
      <c r="H854" s="72"/>
      <c r="I854" s="72"/>
      <c r="J854" s="72"/>
    </row>
    <row r="855" spans="1:10" ht="15" x14ac:dyDescent="0.2">
      <c r="A855" s="72"/>
      <c r="B855" s="72"/>
      <c r="C855" s="72"/>
      <c r="D855" s="72"/>
      <c r="E855" s="72"/>
      <c r="F855" s="72"/>
      <c r="G855" s="72"/>
      <c r="H855" s="72"/>
      <c r="I855" s="72"/>
      <c r="J855" s="72"/>
    </row>
    <row r="856" spans="1:10" ht="15" x14ac:dyDescent="0.2">
      <c r="A856" s="72"/>
      <c r="B856" s="72"/>
      <c r="C856" s="72"/>
      <c r="D856" s="72"/>
      <c r="E856" s="72"/>
      <c r="F856" s="72"/>
      <c r="G856" s="72"/>
      <c r="H856" s="72"/>
      <c r="I856" s="72"/>
      <c r="J856" s="72"/>
    </row>
    <row r="857" spans="1:10" ht="15" x14ac:dyDescent="0.2">
      <c r="A857" s="72"/>
      <c r="B857" s="72"/>
      <c r="C857" s="72"/>
      <c r="D857" s="72"/>
      <c r="E857" s="72"/>
      <c r="F857" s="72"/>
      <c r="G857" s="72"/>
      <c r="H857" s="72"/>
      <c r="I857" s="72"/>
      <c r="J857" s="72"/>
    </row>
    <row r="858" spans="1:10" ht="15" x14ac:dyDescent="0.2">
      <c r="A858" s="72"/>
      <c r="B858" s="72"/>
      <c r="C858" s="72"/>
      <c r="D858" s="72"/>
      <c r="E858" s="72"/>
      <c r="F858" s="72"/>
      <c r="G858" s="72"/>
      <c r="H858" s="72"/>
      <c r="I858" s="72"/>
      <c r="J858" s="72"/>
    </row>
    <row r="859" spans="1:10" ht="15" x14ac:dyDescent="0.2">
      <c r="A859" s="72"/>
      <c r="B859" s="72"/>
      <c r="C859" s="72"/>
      <c r="D859" s="72"/>
      <c r="E859" s="72"/>
      <c r="F859" s="72"/>
      <c r="G859" s="72"/>
      <c r="H859" s="72"/>
      <c r="I859" s="72"/>
      <c r="J859" s="72"/>
    </row>
    <row r="860" spans="1:10" ht="15" x14ac:dyDescent="0.2">
      <c r="A860" s="72"/>
      <c r="B860" s="72"/>
      <c r="C860" s="72"/>
      <c r="D860" s="72"/>
      <c r="E860" s="72"/>
      <c r="F860" s="72"/>
      <c r="G860" s="72"/>
      <c r="H860" s="72"/>
      <c r="I860" s="72"/>
      <c r="J860" s="72"/>
    </row>
    <row r="861" spans="1:10" ht="15" x14ac:dyDescent="0.2">
      <c r="A861" s="72"/>
      <c r="B861" s="72"/>
      <c r="C861" s="72"/>
      <c r="D861" s="72"/>
      <c r="E861" s="72"/>
      <c r="F861" s="72"/>
      <c r="G861" s="72"/>
      <c r="H861" s="72"/>
      <c r="I861" s="72"/>
      <c r="J861" s="72"/>
    </row>
    <row r="862" spans="1:10" ht="15" x14ac:dyDescent="0.2">
      <c r="A862" s="72"/>
      <c r="B862" s="72"/>
      <c r="C862" s="72"/>
      <c r="D862" s="72"/>
      <c r="E862" s="72"/>
      <c r="F862" s="72"/>
      <c r="G862" s="72"/>
      <c r="H862" s="72"/>
      <c r="I862" s="72"/>
      <c r="J862" s="72"/>
    </row>
    <row r="863" spans="1:10" ht="15" x14ac:dyDescent="0.2">
      <c r="A863" s="72"/>
      <c r="B863" s="72"/>
      <c r="C863" s="72"/>
      <c r="D863" s="72"/>
      <c r="E863" s="72"/>
      <c r="F863" s="72"/>
      <c r="G863" s="72"/>
      <c r="H863" s="72"/>
      <c r="I863" s="72"/>
      <c r="J863" s="72"/>
    </row>
    <row r="864" spans="1:10" ht="15" x14ac:dyDescent="0.2">
      <c r="A864" s="72"/>
      <c r="B864" s="72"/>
      <c r="C864" s="72"/>
      <c r="D864" s="72"/>
      <c r="E864" s="72"/>
      <c r="F864" s="72"/>
      <c r="G864" s="72"/>
      <c r="H864" s="72"/>
      <c r="I864" s="72"/>
      <c r="J864" s="72"/>
    </row>
    <row r="865" spans="1:10" ht="15" x14ac:dyDescent="0.2">
      <c r="A865" s="72"/>
      <c r="B865" s="72"/>
      <c r="C865" s="72"/>
      <c r="D865" s="72"/>
      <c r="E865" s="72"/>
      <c r="F865" s="72"/>
      <c r="G865" s="72"/>
      <c r="H865" s="72"/>
      <c r="I865" s="72"/>
      <c r="J865" s="72"/>
    </row>
    <row r="866" spans="1:10" ht="15" x14ac:dyDescent="0.2">
      <c r="A866" s="72"/>
      <c r="B866" s="72"/>
      <c r="C866" s="72"/>
      <c r="D866" s="72"/>
      <c r="E866" s="72"/>
      <c r="F866" s="72"/>
      <c r="G866" s="72"/>
      <c r="H866" s="72"/>
      <c r="I866" s="72"/>
      <c r="J866" s="72"/>
    </row>
    <row r="867" spans="1:10" ht="15" x14ac:dyDescent="0.2">
      <c r="A867" s="72"/>
      <c r="B867" s="72"/>
      <c r="C867" s="72"/>
      <c r="D867" s="72"/>
      <c r="E867" s="72"/>
      <c r="F867" s="72"/>
      <c r="G867" s="72"/>
      <c r="H867" s="72"/>
      <c r="I867" s="72"/>
      <c r="J867" s="72"/>
    </row>
    <row r="868" spans="1:10" ht="15" x14ac:dyDescent="0.2">
      <c r="A868" s="72"/>
      <c r="B868" s="72"/>
      <c r="C868" s="72"/>
      <c r="D868" s="72"/>
      <c r="E868" s="72"/>
      <c r="F868" s="72"/>
      <c r="G868" s="72"/>
      <c r="H868" s="72"/>
      <c r="I868" s="72"/>
      <c r="J868" s="72"/>
    </row>
    <row r="869" spans="1:10" ht="15" x14ac:dyDescent="0.2">
      <c r="A869" s="72"/>
      <c r="B869" s="72"/>
      <c r="C869" s="72"/>
      <c r="D869" s="72"/>
      <c r="E869" s="72"/>
      <c r="F869" s="72"/>
      <c r="G869" s="72"/>
      <c r="H869" s="72"/>
      <c r="I869" s="72"/>
      <c r="J869" s="72"/>
    </row>
    <row r="870" spans="1:10" ht="15" x14ac:dyDescent="0.2">
      <c r="A870" s="72"/>
      <c r="B870" s="72"/>
      <c r="C870" s="72"/>
      <c r="D870" s="72"/>
      <c r="E870" s="72"/>
      <c r="F870" s="72"/>
      <c r="G870" s="72"/>
      <c r="H870" s="72"/>
      <c r="I870" s="72"/>
      <c r="J870" s="72"/>
    </row>
    <row r="871" spans="1:10" ht="15" x14ac:dyDescent="0.2">
      <c r="A871" s="72"/>
      <c r="B871" s="72"/>
      <c r="C871" s="72"/>
      <c r="D871" s="72"/>
      <c r="E871" s="72"/>
      <c r="F871" s="72"/>
      <c r="G871" s="72"/>
      <c r="H871" s="72"/>
      <c r="I871" s="72"/>
      <c r="J871" s="72"/>
    </row>
    <row r="872" spans="1:10" ht="15" x14ac:dyDescent="0.2">
      <c r="A872" s="72"/>
      <c r="B872" s="72"/>
      <c r="C872" s="72"/>
      <c r="D872" s="72"/>
      <c r="E872" s="72"/>
      <c r="F872" s="72"/>
      <c r="G872" s="72"/>
      <c r="H872" s="72"/>
      <c r="I872" s="72"/>
      <c r="J872" s="72"/>
    </row>
    <row r="873" spans="1:10" ht="15" x14ac:dyDescent="0.2">
      <c r="A873" s="72"/>
      <c r="B873" s="72"/>
      <c r="C873" s="72"/>
      <c r="D873" s="72"/>
      <c r="E873" s="72"/>
      <c r="F873" s="72"/>
      <c r="G873" s="72"/>
      <c r="H873" s="72"/>
      <c r="I873" s="72"/>
      <c r="J873" s="72"/>
    </row>
    <row r="874" spans="1:10" ht="15" x14ac:dyDescent="0.2">
      <c r="A874" s="72"/>
      <c r="B874" s="72"/>
      <c r="C874" s="72"/>
      <c r="D874" s="72"/>
      <c r="E874" s="72"/>
      <c r="F874" s="72"/>
      <c r="G874" s="72"/>
      <c r="H874" s="72"/>
      <c r="I874" s="72"/>
      <c r="J874" s="72"/>
    </row>
    <row r="875" spans="1:10" ht="15" x14ac:dyDescent="0.2">
      <c r="A875" s="72"/>
      <c r="B875" s="72"/>
      <c r="C875" s="72"/>
      <c r="D875" s="72"/>
      <c r="E875" s="72"/>
      <c r="F875" s="72"/>
      <c r="G875" s="72"/>
      <c r="H875" s="72"/>
      <c r="I875" s="72"/>
      <c r="J875" s="72"/>
    </row>
    <row r="876" spans="1:10" ht="15" x14ac:dyDescent="0.2">
      <c r="A876" s="72"/>
      <c r="B876" s="72"/>
      <c r="C876" s="72"/>
      <c r="D876" s="72"/>
      <c r="E876" s="72"/>
      <c r="F876" s="72"/>
      <c r="G876" s="72"/>
      <c r="H876" s="72"/>
      <c r="I876" s="72"/>
      <c r="J876" s="72"/>
    </row>
    <row r="877" spans="1:10" ht="15" x14ac:dyDescent="0.2">
      <c r="A877" s="72"/>
      <c r="B877" s="72"/>
      <c r="C877" s="72"/>
      <c r="D877" s="72"/>
      <c r="E877" s="72"/>
      <c r="F877" s="72"/>
      <c r="G877" s="72"/>
      <c r="H877" s="72"/>
      <c r="I877" s="72"/>
      <c r="J877" s="72"/>
    </row>
    <row r="878" spans="1:10" ht="15" x14ac:dyDescent="0.2">
      <c r="A878" s="72"/>
      <c r="B878" s="72"/>
      <c r="C878" s="72"/>
      <c r="D878" s="72"/>
      <c r="E878" s="72"/>
      <c r="F878" s="72"/>
      <c r="G878" s="72"/>
      <c r="H878" s="72"/>
      <c r="I878" s="72"/>
      <c r="J878" s="72"/>
    </row>
    <row r="879" spans="1:10" ht="15" x14ac:dyDescent="0.2">
      <c r="A879" s="72"/>
      <c r="B879" s="72"/>
      <c r="C879" s="72"/>
      <c r="D879" s="72"/>
      <c r="E879" s="72"/>
      <c r="F879" s="72"/>
      <c r="G879" s="72"/>
      <c r="H879" s="72"/>
      <c r="I879" s="72"/>
      <c r="J879" s="72"/>
    </row>
    <row r="880" spans="1:10" ht="15" x14ac:dyDescent="0.2">
      <c r="A880" s="72"/>
      <c r="B880" s="72"/>
      <c r="C880" s="72"/>
      <c r="D880" s="72"/>
      <c r="E880" s="72"/>
      <c r="F880" s="72"/>
      <c r="G880" s="72"/>
      <c r="H880" s="72"/>
      <c r="I880" s="72"/>
      <c r="J880" s="72"/>
    </row>
    <row r="881" spans="1:10" ht="15" x14ac:dyDescent="0.2">
      <c r="A881" s="72"/>
      <c r="B881" s="72"/>
      <c r="C881" s="72"/>
      <c r="D881" s="72"/>
      <c r="E881" s="72"/>
      <c r="F881" s="72"/>
      <c r="G881" s="72"/>
      <c r="H881" s="72"/>
      <c r="I881" s="72"/>
      <c r="J881" s="72"/>
    </row>
    <row r="882" spans="1:10" ht="15" x14ac:dyDescent="0.2">
      <c r="A882" s="72"/>
      <c r="B882" s="72"/>
      <c r="C882" s="72"/>
      <c r="D882" s="72"/>
      <c r="E882" s="72"/>
      <c r="F882" s="72"/>
      <c r="G882" s="72"/>
      <c r="H882" s="72"/>
      <c r="I882" s="72"/>
      <c r="J882" s="72"/>
    </row>
    <row r="883" spans="1:10" ht="15" x14ac:dyDescent="0.2">
      <c r="A883" s="72"/>
      <c r="B883" s="72"/>
      <c r="C883" s="72"/>
      <c r="D883" s="72"/>
      <c r="E883" s="72"/>
      <c r="F883" s="72"/>
      <c r="G883" s="72"/>
      <c r="H883" s="72"/>
      <c r="I883" s="72"/>
      <c r="J883" s="72"/>
    </row>
    <row r="884" spans="1:10" ht="15" x14ac:dyDescent="0.2">
      <c r="A884" s="72"/>
      <c r="B884" s="72"/>
      <c r="C884" s="72"/>
      <c r="D884" s="72"/>
      <c r="E884" s="72"/>
      <c r="F884" s="72"/>
      <c r="G884" s="72"/>
      <c r="H884" s="72"/>
      <c r="I884" s="72"/>
      <c r="J884" s="72"/>
    </row>
    <row r="885" spans="1:10" ht="15" x14ac:dyDescent="0.2">
      <c r="A885" s="72"/>
      <c r="B885" s="72"/>
      <c r="C885" s="72"/>
      <c r="D885" s="72"/>
      <c r="E885" s="72"/>
      <c r="F885" s="72"/>
      <c r="G885" s="72"/>
      <c r="H885" s="72"/>
      <c r="I885" s="72"/>
      <c r="J885" s="72"/>
    </row>
    <row r="886" spans="1:10" ht="15" x14ac:dyDescent="0.2">
      <c r="A886" s="72"/>
      <c r="B886" s="72"/>
      <c r="C886" s="72"/>
      <c r="D886" s="72"/>
      <c r="E886" s="72"/>
      <c r="F886" s="72"/>
      <c r="G886" s="72"/>
      <c r="H886" s="72"/>
      <c r="I886" s="72"/>
      <c r="J886" s="72"/>
    </row>
    <row r="887" spans="1:10" ht="15" x14ac:dyDescent="0.2">
      <c r="A887" s="72"/>
      <c r="B887" s="72"/>
      <c r="C887" s="72"/>
      <c r="D887" s="72"/>
      <c r="E887" s="72"/>
      <c r="F887" s="72"/>
      <c r="G887" s="72"/>
      <c r="H887" s="72"/>
      <c r="I887" s="72"/>
      <c r="J887" s="72"/>
    </row>
    <row r="888" spans="1:10" ht="15" x14ac:dyDescent="0.2">
      <c r="A888" s="72"/>
      <c r="B888" s="72"/>
      <c r="C888" s="72"/>
      <c r="D888" s="72"/>
      <c r="E888" s="72"/>
      <c r="F888" s="72"/>
      <c r="G888" s="72"/>
      <c r="H888" s="72"/>
      <c r="I888" s="72"/>
      <c r="J888" s="72"/>
    </row>
    <row r="889" spans="1:10" ht="15" x14ac:dyDescent="0.2">
      <c r="A889" s="72"/>
      <c r="B889" s="72"/>
      <c r="C889" s="72"/>
      <c r="D889" s="72"/>
      <c r="E889" s="72"/>
      <c r="F889" s="72"/>
      <c r="G889" s="72"/>
      <c r="H889" s="72"/>
      <c r="I889" s="72"/>
      <c r="J889" s="72"/>
    </row>
    <row r="890" spans="1:10" ht="15" x14ac:dyDescent="0.2">
      <c r="A890" s="72"/>
      <c r="B890" s="72"/>
      <c r="C890" s="72"/>
      <c r="D890" s="72"/>
      <c r="E890" s="72"/>
      <c r="F890" s="72"/>
      <c r="G890" s="72"/>
      <c r="H890" s="72"/>
      <c r="I890" s="72"/>
      <c r="J890" s="72"/>
    </row>
    <row r="891" spans="1:10" ht="15" x14ac:dyDescent="0.2">
      <c r="A891" s="72"/>
      <c r="B891" s="72"/>
      <c r="C891" s="72"/>
      <c r="D891" s="72"/>
      <c r="E891" s="72"/>
      <c r="F891" s="72"/>
      <c r="G891" s="72"/>
      <c r="H891" s="72"/>
      <c r="I891" s="72"/>
      <c r="J891" s="72"/>
    </row>
    <row r="892" spans="1:10" ht="15" x14ac:dyDescent="0.2">
      <c r="A892" s="72"/>
      <c r="B892" s="72"/>
      <c r="C892" s="72"/>
      <c r="D892" s="72"/>
      <c r="E892" s="72"/>
      <c r="F892" s="72"/>
      <c r="G892" s="72"/>
      <c r="H892" s="72"/>
      <c r="I892" s="72"/>
      <c r="J892" s="72"/>
    </row>
    <row r="893" spans="1:10" ht="15" x14ac:dyDescent="0.2">
      <c r="A893" s="72"/>
      <c r="B893" s="72"/>
      <c r="C893" s="72"/>
      <c r="D893" s="72"/>
      <c r="E893" s="72"/>
      <c r="F893" s="72"/>
      <c r="G893" s="72"/>
      <c r="H893" s="72"/>
      <c r="I893" s="72"/>
      <c r="J893" s="72"/>
    </row>
    <row r="894" spans="1:10" ht="15" x14ac:dyDescent="0.2">
      <c r="A894" s="72"/>
      <c r="B894" s="72"/>
      <c r="C894" s="72"/>
      <c r="D894" s="72"/>
      <c r="E894" s="72"/>
      <c r="F894" s="72"/>
      <c r="G894" s="72"/>
      <c r="H894" s="72"/>
      <c r="I894" s="72"/>
      <c r="J894" s="72"/>
    </row>
    <row r="895" spans="1:10" ht="15" x14ac:dyDescent="0.2">
      <c r="A895" s="72"/>
      <c r="B895" s="72"/>
      <c r="C895" s="72"/>
      <c r="D895" s="72"/>
      <c r="E895" s="72"/>
      <c r="F895" s="72"/>
      <c r="G895" s="72"/>
      <c r="H895" s="72"/>
      <c r="I895" s="72"/>
      <c r="J895" s="72"/>
    </row>
    <row r="896" spans="1:10" ht="15" x14ac:dyDescent="0.2">
      <c r="A896" s="72"/>
      <c r="B896" s="72"/>
      <c r="C896" s="72"/>
      <c r="D896" s="72"/>
      <c r="E896" s="72"/>
      <c r="F896" s="72"/>
      <c r="G896" s="72"/>
      <c r="H896" s="72"/>
      <c r="I896" s="72"/>
      <c r="J896" s="72"/>
    </row>
    <row r="897" spans="1:10" ht="15" x14ac:dyDescent="0.2">
      <c r="A897" s="72"/>
      <c r="B897" s="72"/>
      <c r="C897" s="72"/>
      <c r="D897" s="72"/>
      <c r="E897" s="72"/>
      <c r="F897" s="72"/>
      <c r="G897" s="72"/>
      <c r="H897" s="72"/>
      <c r="I897" s="72"/>
      <c r="J897" s="72"/>
    </row>
    <row r="898" spans="1:10" ht="15" x14ac:dyDescent="0.2">
      <c r="A898" s="72"/>
      <c r="B898" s="72"/>
      <c r="C898" s="72"/>
      <c r="D898" s="72"/>
      <c r="E898" s="72"/>
      <c r="F898" s="72"/>
      <c r="G898" s="72"/>
      <c r="H898" s="72"/>
      <c r="I898" s="72"/>
      <c r="J898" s="72"/>
    </row>
    <row r="899" spans="1:10" ht="15" x14ac:dyDescent="0.2">
      <c r="A899" s="72"/>
      <c r="B899" s="72"/>
      <c r="C899" s="72"/>
      <c r="D899" s="72"/>
      <c r="E899" s="72"/>
      <c r="F899" s="72"/>
      <c r="G899" s="72"/>
      <c r="H899" s="72"/>
      <c r="I899" s="72"/>
      <c r="J899" s="72"/>
    </row>
    <row r="900" spans="1:10" ht="15" x14ac:dyDescent="0.2">
      <c r="A900" s="72"/>
      <c r="B900" s="72"/>
      <c r="C900" s="72"/>
      <c r="D900" s="72"/>
      <c r="E900" s="72"/>
      <c r="F900" s="72"/>
      <c r="G900" s="72"/>
      <c r="H900" s="72"/>
      <c r="I900" s="72"/>
      <c r="J900" s="72"/>
    </row>
    <row r="901" spans="1:10" ht="15" x14ac:dyDescent="0.2">
      <c r="A901" s="72"/>
      <c r="B901" s="72"/>
      <c r="C901" s="72"/>
      <c r="D901" s="72"/>
      <c r="E901" s="72"/>
      <c r="F901" s="72"/>
      <c r="G901" s="72"/>
      <c r="H901" s="72"/>
      <c r="I901" s="72"/>
      <c r="J901" s="72"/>
    </row>
    <row r="902" spans="1:10" ht="15" x14ac:dyDescent="0.2">
      <c r="A902" s="72"/>
      <c r="B902" s="72"/>
      <c r="C902" s="72"/>
      <c r="D902" s="72"/>
      <c r="E902" s="72"/>
      <c r="F902" s="72"/>
      <c r="G902" s="72"/>
      <c r="H902" s="72"/>
      <c r="I902" s="72"/>
      <c r="J902" s="72"/>
    </row>
    <row r="903" spans="1:10" ht="15" x14ac:dyDescent="0.2">
      <c r="A903" s="72"/>
      <c r="B903" s="72"/>
      <c r="C903" s="72"/>
      <c r="D903" s="72"/>
      <c r="E903" s="72"/>
      <c r="F903" s="72"/>
      <c r="G903" s="72"/>
      <c r="H903" s="72"/>
      <c r="I903" s="72"/>
      <c r="J903" s="72"/>
    </row>
    <row r="904" spans="1:10" ht="15" x14ac:dyDescent="0.2">
      <c r="A904" s="72"/>
      <c r="B904" s="72"/>
      <c r="C904" s="72"/>
      <c r="D904" s="72"/>
      <c r="E904" s="72"/>
      <c r="F904" s="72"/>
      <c r="G904" s="72"/>
      <c r="H904" s="72"/>
      <c r="I904" s="72"/>
      <c r="J904" s="72"/>
    </row>
    <row r="905" spans="1:10" ht="15" x14ac:dyDescent="0.2">
      <c r="A905" s="72"/>
      <c r="B905" s="72"/>
      <c r="C905" s="72"/>
      <c r="D905" s="72"/>
      <c r="E905" s="72"/>
      <c r="F905" s="72"/>
      <c r="G905" s="72"/>
      <c r="H905" s="72"/>
      <c r="I905" s="72"/>
      <c r="J905" s="72"/>
    </row>
    <row r="906" spans="1:10" ht="15" x14ac:dyDescent="0.2">
      <c r="A906" s="72"/>
      <c r="B906" s="72"/>
      <c r="C906" s="72"/>
      <c r="D906" s="72"/>
      <c r="E906" s="72"/>
      <c r="F906" s="72"/>
      <c r="G906" s="72"/>
      <c r="H906" s="72"/>
      <c r="I906" s="72"/>
      <c r="J906" s="72"/>
    </row>
    <row r="907" spans="1:10" ht="15" x14ac:dyDescent="0.2">
      <c r="A907" s="72"/>
      <c r="B907" s="72"/>
      <c r="C907" s="72"/>
      <c r="D907" s="72"/>
      <c r="E907" s="72"/>
      <c r="F907" s="72"/>
      <c r="G907" s="72"/>
      <c r="H907" s="72"/>
      <c r="I907" s="72"/>
      <c r="J907" s="72"/>
    </row>
    <row r="908" spans="1:10" ht="15" x14ac:dyDescent="0.2">
      <c r="A908" s="72"/>
      <c r="B908" s="72"/>
      <c r="C908" s="72"/>
      <c r="D908" s="72"/>
      <c r="E908" s="72"/>
      <c r="F908" s="72"/>
      <c r="G908" s="72"/>
      <c r="H908" s="72"/>
      <c r="I908" s="72"/>
      <c r="J908" s="72"/>
    </row>
    <row r="909" spans="1:10" ht="15" x14ac:dyDescent="0.2">
      <c r="A909" s="72"/>
      <c r="B909" s="72"/>
      <c r="C909" s="72"/>
      <c r="D909" s="72"/>
      <c r="E909" s="72"/>
      <c r="F909" s="72"/>
      <c r="G909" s="72"/>
      <c r="H909" s="72"/>
      <c r="I909" s="72"/>
      <c r="J909" s="72"/>
    </row>
    <row r="910" spans="1:10" ht="15" x14ac:dyDescent="0.2">
      <c r="A910" s="72"/>
      <c r="B910" s="72"/>
      <c r="C910" s="72"/>
      <c r="D910" s="72"/>
      <c r="E910" s="72"/>
      <c r="F910" s="72"/>
      <c r="G910" s="72"/>
      <c r="H910" s="72"/>
      <c r="I910" s="72"/>
      <c r="J910" s="72"/>
    </row>
    <row r="911" spans="1:10" ht="15" x14ac:dyDescent="0.2">
      <c r="A911" s="72"/>
      <c r="B911" s="72"/>
      <c r="C911" s="72"/>
      <c r="D911" s="72"/>
      <c r="E911" s="72"/>
      <c r="F911" s="72"/>
      <c r="G911" s="72"/>
      <c r="H911" s="72"/>
      <c r="I911" s="72"/>
      <c r="J911" s="72"/>
    </row>
    <row r="912" spans="1:10" ht="15" x14ac:dyDescent="0.2">
      <c r="A912" s="72"/>
      <c r="B912" s="72"/>
      <c r="C912" s="72"/>
      <c r="D912" s="72"/>
      <c r="E912" s="72"/>
      <c r="F912" s="72"/>
      <c r="G912" s="72"/>
      <c r="H912" s="72"/>
      <c r="I912" s="72"/>
      <c r="J912" s="72"/>
    </row>
    <row r="913" spans="1:10" ht="15" x14ac:dyDescent="0.2">
      <c r="A913" s="72"/>
      <c r="B913" s="72"/>
      <c r="C913" s="72"/>
      <c r="D913" s="72"/>
      <c r="E913" s="72"/>
      <c r="F913" s="72"/>
      <c r="G913" s="72"/>
      <c r="H913" s="72"/>
      <c r="I913" s="72"/>
      <c r="J913" s="72"/>
    </row>
    <row r="914" spans="1:10" ht="15" x14ac:dyDescent="0.2">
      <c r="A914" s="72"/>
      <c r="B914" s="72"/>
      <c r="C914" s="72"/>
      <c r="D914" s="72"/>
      <c r="E914" s="72"/>
      <c r="F914" s="72"/>
      <c r="G914" s="72"/>
      <c r="H914" s="72"/>
      <c r="I914" s="72"/>
      <c r="J914" s="72"/>
    </row>
    <row r="915" spans="1:10" ht="15" x14ac:dyDescent="0.2">
      <c r="A915" s="72"/>
      <c r="B915" s="72"/>
      <c r="C915" s="72"/>
      <c r="D915" s="72"/>
      <c r="E915" s="72"/>
      <c r="F915" s="72"/>
      <c r="G915" s="72"/>
      <c r="H915" s="72"/>
      <c r="I915" s="72"/>
      <c r="J915" s="72"/>
    </row>
    <row r="916" spans="1:10" ht="15" x14ac:dyDescent="0.2">
      <c r="A916" s="72"/>
      <c r="B916" s="72"/>
      <c r="C916" s="72"/>
      <c r="D916" s="72"/>
      <c r="E916" s="72"/>
      <c r="F916" s="72"/>
      <c r="G916" s="72"/>
      <c r="H916" s="72"/>
      <c r="I916" s="72"/>
      <c r="J916" s="72"/>
    </row>
    <row r="917" spans="1:10" ht="15" x14ac:dyDescent="0.2">
      <c r="A917" s="72"/>
      <c r="B917" s="72"/>
      <c r="C917" s="72"/>
      <c r="D917" s="72"/>
      <c r="E917" s="72"/>
      <c r="F917" s="72"/>
      <c r="G917" s="72"/>
      <c r="H917" s="72"/>
      <c r="I917" s="72"/>
      <c r="J917" s="72"/>
    </row>
    <row r="918" spans="1:10" ht="15" x14ac:dyDescent="0.2">
      <c r="A918" s="72"/>
      <c r="B918" s="72"/>
      <c r="C918" s="72"/>
      <c r="D918" s="72"/>
      <c r="E918" s="72"/>
      <c r="F918" s="72"/>
      <c r="G918" s="72"/>
      <c r="H918" s="72"/>
      <c r="I918" s="72"/>
      <c r="J918" s="72"/>
    </row>
    <row r="919" spans="1:10" ht="15" x14ac:dyDescent="0.2">
      <c r="A919" s="72"/>
      <c r="B919" s="72"/>
      <c r="C919" s="72"/>
      <c r="D919" s="72"/>
      <c r="E919" s="72"/>
      <c r="F919" s="72"/>
      <c r="G919" s="72"/>
      <c r="H919" s="72"/>
      <c r="I919" s="72"/>
      <c r="J919" s="72"/>
    </row>
    <row r="920" spans="1:10" ht="15" x14ac:dyDescent="0.2">
      <c r="A920" s="72"/>
      <c r="B920" s="72"/>
      <c r="C920" s="72"/>
      <c r="D920" s="72"/>
      <c r="E920" s="72"/>
      <c r="F920" s="72"/>
      <c r="G920" s="72"/>
      <c r="H920" s="72"/>
      <c r="I920" s="72"/>
      <c r="J920" s="72"/>
    </row>
    <row r="921" spans="1:10" ht="15" x14ac:dyDescent="0.2">
      <c r="A921" s="72"/>
      <c r="B921" s="72"/>
      <c r="C921" s="72"/>
      <c r="D921" s="72"/>
      <c r="E921" s="72"/>
      <c r="F921" s="72"/>
      <c r="G921" s="72"/>
      <c r="H921" s="72"/>
      <c r="I921" s="72"/>
      <c r="J921" s="72"/>
    </row>
    <row r="922" spans="1:10" ht="15" x14ac:dyDescent="0.2">
      <c r="A922" s="72"/>
      <c r="B922" s="72"/>
      <c r="C922" s="72"/>
      <c r="D922" s="72"/>
      <c r="E922" s="72"/>
      <c r="F922" s="72"/>
      <c r="G922" s="72"/>
      <c r="H922" s="72"/>
      <c r="I922" s="72"/>
      <c r="J922" s="72"/>
    </row>
    <row r="923" spans="1:10" ht="15" x14ac:dyDescent="0.2">
      <c r="A923" s="72"/>
      <c r="B923" s="72"/>
      <c r="C923" s="72"/>
      <c r="D923" s="72"/>
      <c r="E923" s="72"/>
      <c r="F923" s="72"/>
      <c r="G923" s="72"/>
      <c r="H923" s="72"/>
      <c r="I923" s="72"/>
      <c r="J923" s="72"/>
    </row>
    <row r="924" spans="1:10" ht="15" x14ac:dyDescent="0.2">
      <c r="A924" s="72"/>
      <c r="B924" s="72"/>
      <c r="C924" s="72"/>
      <c r="D924" s="72"/>
      <c r="E924" s="72"/>
      <c r="F924" s="72"/>
      <c r="G924" s="72"/>
      <c r="H924" s="72"/>
      <c r="I924" s="72"/>
      <c r="J924" s="72"/>
    </row>
    <row r="925" spans="1:10" ht="15" x14ac:dyDescent="0.2">
      <c r="A925" s="72"/>
      <c r="B925" s="72"/>
      <c r="C925" s="72"/>
      <c r="D925" s="72"/>
      <c r="E925" s="72"/>
      <c r="F925" s="72"/>
      <c r="G925" s="72"/>
      <c r="H925" s="72"/>
      <c r="I925" s="72"/>
      <c r="J925" s="72"/>
    </row>
    <row r="926" spans="1:10" ht="15" x14ac:dyDescent="0.2">
      <c r="A926" s="72"/>
      <c r="B926" s="72"/>
      <c r="C926" s="72"/>
      <c r="D926" s="72"/>
      <c r="E926" s="72"/>
      <c r="F926" s="72"/>
      <c r="G926" s="72"/>
      <c r="H926" s="72"/>
      <c r="I926" s="72"/>
      <c r="J926" s="72"/>
    </row>
    <row r="927" spans="1:10" ht="15" x14ac:dyDescent="0.2">
      <c r="A927" s="72"/>
      <c r="B927" s="72"/>
      <c r="C927" s="72"/>
      <c r="D927" s="72"/>
      <c r="E927" s="72"/>
      <c r="F927" s="72"/>
      <c r="G927" s="72"/>
      <c r="H927" s="72"/>
      <c r="I927" s="72"/>
      <c r="J927" s="72"/>
    </row>
    <row r="928" spans="1:10" ht="15" x14ac:dyDescent="0.2">
      <c r="A928" s="72"/>
      <c r="B928" s="72"/>
      <c r="C928" s="72"/>
      <c r="D928" s="72"/>
      <c r="E928" s="72"/>
      <c r="F928" s="72"/>
      <c r="G928" s="72"/>
      <c r="H928" s="72"/>
      <c r="I928" s="72"/>
      <c r="J928" s="72"/>
    </row>
    <row r="929" spans="1:10" ht="15" x14ac:dyDescent="0.2">
      <c r="A929" s="72"/>
      <c r="B929" s="72"/>
      <c r="C929" s="72"/>
      <c r="D929" s="72"/>
      <c r="E929" s="72"/>
      <c r="F929" s="72"/>
      <c r="G929" s="72"/>
      <c r="H929" s="72"/>
      <c r="I929" s="72"/>
      <c r="J929" s="72"/>
    </row>
    <row r="930" spans="1:10" ht="15" x14ac:dyDescent="0.2">
      <c r="A930" s="72"/>
      <c r="B930" s="72"/>
      <c r="C930" s="72"/>
      <c r="D930" s="72"/>
      <c r="E930" s="72"/>
      <c r="F930" s="72"/>
      <c r="G930" s="72"/>
      <c r="H930" s="72"/>
      <c r="I930" s="72"/>
      <c r="J930" s="72"/>
    </row>
    <row r="931" spans="1:10" ht="15" x14ac:dyDescent="0.2">
      <c r="A931" s="72"/>
      <c r="B931" s="72"/>
      <c r="C931" s="72"/>
      <c r="D931" s="72"/>
      <c r="E931" s="72"/>
      <c r="F931" s="72"/>
      <c r="G931" s="72"/>
      <c r="H931" s="72"/>
      <c r="I931" s="72"/>
      <c r="J931" s="72"/>
    </row>
    <row r="932" spans="1:10" ht="15" x14ac:dyDescent="0.2">
      <c r="A932" s="72"/>
      <c r="B932" s="72"/>
      <c r="C932" s="72"/>
      <c r="D932" s="72"/>
      <c r="E932" s="72"/>
      <c r="F932" s="72"/>
      <c r="G932" s="72"/>
      <c r="H932" s="72"/>
      <c r="I932" s="72"/>
      <c r="J932" s="72"/>
    </row>
    <row r="933" spans="1:10" ht="15" x14ac:dyDescent="0.2">
      <c r="A933" s="72"/>
      <c r="B933" s="72"/>
      <c r="C933" s="72"/>
      <c r="D933" s="72"/>
      <c r="E933" s="72"/>
      <c r="F933" s="72"/>
      <c r="G933" s="72"/>
      <c r="H933" s="72"/>
      <c r="I933" s="72"/>
      <c r="J933" s="72"/>
    </row>
    <row r="934" spans="1:10" ht="15" x14ac:dyDescent="0.2">
      <c r="A934" s="72"/>
      <c r="B934" s="72"/>
      <c r="C934" s="72"/>
      <c r="D934" s="72"/>
      <c r="E934" s="72"/>
      <c r="F934" s="72"/>
      <c r="G934" s="72"/>
      <c r="H934" s="72"/>
      <c r="I934" s="72"/>
      <c r="J934" s="72"/>
    </row>
    <row r="935" spans="1:10" ht="15" x14ac:dyDescent="0.2">
      <c r="A935" s="72"/>
      <c r="B935" s="72"/>
      <c r="C935" s="72"/>
      <c r="D935" s="72"/>
      <c r="E935" s="72"/>
      <c r="F935" s="72"/>
      <c r="G935" s="72"/>
      <c r="H935" s="72"/>
      <c r="I935" s="72"/>
      <c r="J935" s="72"/>
    </row>
    <row r="936" spans="1:10" ht="15" x14ac:dyDescent="0.2">
      <c r="A936" s="72"/>
      <c r="B936" s="72"/>
      <c r="C936" s="72"/>
      <c r="D936" s="72"/>
      <c r="E936" s="72"/>
      <c r="F936" s="72"/>
      <c r="G936" s="72"/>
      <c r="H936" s="72"/>
      <c r="I936" s="72"/>
      <c r="J936" s="72"/>
    </row>
    <row r="937" spans="1:10" ht="15" x14ac:dyDescent="0.2">
      <c r="A937" s="72"/>
      <c r="B937" s="72"/>
      <c r="C937" s="72"/>
      <c r="D937" s="72"/>
      <c r="E937" s="72"/>
      <c r="F937" s="72"/>
      <c r="G937" s="72"/>
      <c r="H937" s="72"/>
      <c r="I937" s="72"/>
      <c r="J937" s="72"/>
    </row>
    <row r="938" spans="1:10" ht="15" x14ac:dyDescent="0.2">
      <c r="A938" s="72"/>
      <c r="B938" s="72"/>
      <c r="C938" s="72"/>
      <c r="D938" s="72"/>
      <c r="E938" s="72"/>
      <c r="F938" s="72"/>
      <c r="G938" s="72"/>
      <c r="H938" s="72"/>
      <c r="I938" s="72"/>
      <c r="J938" s="72"/>
    </row>
    <row r="939" spans="1:10" ht="15" x14ac:dyDescent="0.2">
      <c r="A939" s="72"/>
      <c r="B939" s="72"/>
      <c r="C939" s="72"/>
      <c r="D939" s="72"/>
      <c r="E939" s="72"/>
      <c r="F939" s="72"/>
      <c r="G939" s="72"/>
      <c r="H939" s="72"/>
      <c r="I939" s="72"/>
      <c r="J939" s="72"/>
    </row>
    <row r="940" spans="1:10" ht="15" x14ac:dyDescent="0.2">
      <c r="A940" s="72"/>
      <c r="B940" s="72"/>
      <c r="C940" s="72"/>
      <c r="D940" s="72"/>
      <c r="E940" s="72"/>
      <c r="F940" s="72"/>
      <c r="G940" s="72"/>
      <c r="H940" s="72"/>
      <c r="I940" s="72"/>
      <c r="J940" s="72"/>
    </row>
    <row r="941" spans="1:10" ht="15" x14ac:dyDescent="0.2">
      <c r="A941" s="72"/>
      <c r="B941" s="72"/>
      <c r="C941" s="72"/>
      <c r="D941" s="72"/>
      <c r="E941" s="72"/>
      <c r="F941" s="72"/>
      <c r="G941" s="72"/>
      <c r="H941" s="72"/>
      <c r="I941" s="72"/>
      <c r="J941" s="72"/>
    </row>
    <row r="942" spans="1:10" ht="15" x14ac:dyDescent="0.2">
      <c r="A942" s="72"/>
      <c r="B942" s="72"/>
      <c r="C942" s="72"/>
      <c r="D942" s="72"/>
      <c r="E942" s="72"/>
      <c r="F942" s="72"/>
      <c r="G942" s="72"/>
      <c r="H942" s="72"/>
      <c r="I942" s="72"/>
      <c r="J942" s="72"/>
    </row>
    <row r="943" spans="1:10" ht="15" x14ac:dyDescent="0.2">
      <c r="A943" s="72"/>
      <c r="B943" s="72"/>
      <c r="C943" s="72"/>
      <c r="D943" s="72"/>
      <c r="E943" s="72"/>
      <c r="F943" s="72"/>
      <c r="G943" s="72"/>
      <c r="H943" s="72"/>
      <c r="I943" s="72"/>
      <c r="J943" s="72"/>
    </row>
    <row r="944" spans="1:10" ht="15" x14ac:dyDescent="0.2">
      <c r="A944" s="72"/>
      <c r="B944" s="72"/>
      <c r="C944" s="72"/>
      <c r="D944" s="72"/>
      <c r="E944" s="72"/>
      <c r="F944" s="72"/>
      <c r="G944" s="72"/>
      <c r="H944" s="72"/>
      <c r="I944" s="72"/>
      <c r="J944" s="72"/>
    </row>
    <row r="945" spans="1:10" ht="15" x14ac:dyDescent="0.2">
      <c r="A945" s="72"/>
      <c r="B945" s="72"/>
      <c r="C945" s="72"/>
      <c r="D945" s="72"/>
      <c r="E945" s="72"/>
      <c r="F945" s="72"/>
      <c r="G945" s="72"/>
      <c r="H945" s="72"/>
      <c r="I945" s="72"/>
      <c r="J945" s="72"/>
    </row>
    <row r="946" spans="1:10" ht="15" x14ac:dyDescent="0.2">
      <c r="A946" s="72"/>
      <c r="B946" s="72"/>
      <c r="C946" s="72"/>
      <c r="D946" s="72"/>
      <c r="E946" s="72"/>
      <c r="F946" s="72"/>
      <c r="G946" s="72"/>
      <c r="H946" s="72"/>
      <c r="I946" s="72"/>
      <c r="J946" s="72"/>
    </row>
    <row r="947" spans="1:10" ht="15" x14ac:dyDescent="0.2">
      <c r="A947" s="72"/>
      <c r="B947" s="72"/>
      <c r="C947" s="72"/>
      <c r="D947" s="72"/>
      <c r="E947" s="72"/>
      <c r="F947" s="72"/>
      <c r="G947" s="72"/>
      <c r="H947" s="72"/>
      <c r="I947" s="72"/>
      <c r="J947" s="72"/>
    </row>
    <row r="948" spans="1:10" ht="15" x14ac:dyDescent="0.2">
      <c r="A948" s="72"/>
      <c r="B948" s="72"/>
      <c r="C948" s="72"/>
      <c r="D948" s="72"/>
      <c r="E948" s="72"/>
      <c r="F948" s="72"/>
      <c r="G948" s="72"/>
      <c r="H948" s="72"/>
      <c r="I948" s="72"/>
      <c r="J948" s="72"/>
    </row>
    <row r="949" spans="1:10" ht="15" x14ac:dyDescent="0.2">
      <c r="A949" s="72"/>
      <c r="B949" s="72"/>
      <c r="C949" s="72"/>
      <c r="D949" s="72"/>
      <c r="E949" s="72"/>
      <c r="F949" s="72"/>
      <c r="G949" s="72"/>
      <c r="H949" s="72"/>
      <c r="I949" s="72"/>
      <c r="J949" s="72"/>
    </row>
    <row r="950" spans="1:10" ht="15" x14ac:dyDescent="0.2">
      <c r="A950" s="72"/>
      <c r="B950" s="72"/>
      <c r="C950" s="72"/>
      <c r="D950" s="72"/>
      <c r="E950" s="72"/>
      <c r="F950" s="72"/>
      <c r="G950" s="72"/>
      <c r="H950" s="72"/>
      <c r="I950" s="72"/>
      <c r="J950" s="72"/>
    </row>
    <row r="951" spans="1:10" ht="15" x14ac:dyDescent="0.2">
      <c r="A951" s="72"/>
      <c r="B951" s="72"/>
      <c r="C951" s="72"/>
      <c r="D951" s="72"/>
      <c r="E951" s="72"/>
      <c r="F951" s="72"/>
      <c r="G951" s="72"/>
      <c r="H951" s="72"/>
      <c r="I951" s="72"/>
      <c r="J951" s="72"/>
    </row>
    <row r="952" spans="1:10" ht="15" x14ac:dyDescent="0.2">
      <c r="A952" s="72"/>
      <c r="B952" s="72"/>
      <c r="C952" s="72"/>
      <c r="D952" s="72"/>
      <c r="E952" s="72"/>
      <c r="F952" s="72"/>
      <c r="G952" s="72"/>
      <c r="H952" s="72"/>
      <c r="I952" s="72"/>
      <c r="J952" s="72"/>
    </row>
    <row r="953" spans="1:10" ht="15" x14ac:dyDescent="0.2">
      <c r="A953" s="72"/>
      <c r="B953" s="72"/>
      <c r="C953" s="72"/>
      <c r="D953" s="72"/>
      <c r="E953" s="72"/>
      <c r="F953" s="72"/>
      <c r="G953" s="72"/>
      <c r="H953" s="72"/>
      <c r="I953" s="72"/>
      <c r="J953" s="72"/>
    </row>
    <row r="954" spans="1:10" ht="15" x14ac:dyDescent="0.2">
      <c r="A954" s="72"/>
      <c r="B954" s="72"/>
      <c r="C954" s="72"/>
      <c r="D954" s="72"/>
      <c r="E954" s="72"/>
      <c r="F954" s="72"/>
      <c r="G954" s="72"/>
      <c r="H954" s="72"/>
      <c r="I954" s="72"/>
      <c r="J954" s="72"/>
    </row>
    <row r="955" spans="1:10" ht="15" x14ac:dyDescent="0.2">
      <c r="A955" s="72"/>
      <c r="B955" s="72"/>
      <c r="C955" s="72"/>
      <c r="D955" s="72"/>
      <c r="E955" s="72"/>
      <c r="F955" s="72"/>
      <c r="G955" s="72"/>
      <c r="H955" s="72"/>
      <c r="I955" s="72"/>
      <c r="J955" s="72"/>
    </row>
    <row r="956" spans="1:10" ht="15" x14ac:dyDescent="0.2">
      <c r="A956" s="72"/>
      <c r="B956" s="72"/>
      <c r="C956" s="72"/>
      <c r="D956" s="72"/>
      <c r="E956" s="72"/>
      <c r="F956" s="72"/>
      <c r="G956" s="72"/>
      <c r="H956" s="72"/>
      <c r="I956" s="72"/>
      <c r="J956" s="72"/>
    </row>
    <row r="957" spans="1:10" ht="15" x14ac:dyDescent="0.2">
      <c r="A957" s="72"/>
      <c r="B957" s="72"/>
      <c r="C957" s="72"/>
      <c r="D957" s="72"/>
      <c r="E957" s="72"/>
      <c r="F957" s="72"/>
      <c r="G957" s="72"/>
      <c r="H957" s="72"/>
      <c r="I957" s="72"/>
      <c r="J957" s="72"/>
    </row>
    <row r="958" spans="1:10" ht="15" x14ac:dyDescent="0.2">
      <c r="A958" s="72"/>
      <c r="B958" s="72"/>
      <c r="C958" s="72"/>
      <c r="D958" s="72"/>
      <c r="E958" s="72"/>
      <c r="F958" s="72"/>
      <c r="G958" s="72"/>
      <c r="H958" s="72"/>
      <c r="I958" s="72"/>
      <c r="J958" s="72"/>
    </row>
    <row r="959" spans="1:10" ht="15" x14ac:dyDescent="0.2">
      <c r="A959" s="72"/>
      <c r="B959" s="72"/>
      <c r="C959" s="72"/>
      <c r="D959" s="72"/>
      <c r="E959" s="72"/>
      <c r="F959" s="72"/>
      <c r="G959" s="72"/>
      <c r="H959" s="72"/>
      <c r="I959" s="72"/>
      <c r="J959" s="72"/>
    </row>
    <row r="960" spans="1:10" ht="15" x14ac:dyDescent="0.2">
      <c r="A960" s="72"/>
      <c r="B960" s="72"/>
      <c r="C960" s="72"/>
      <c r="D960" s="72"/>
      <c r="E960" s="72"/>
      <c r="F960" s="72"/>
      <c r="G960" s="72"/>
      <c r="H960" s="72"/>
      <c r="I960" s="72"/>
      <c r="J960" s="72"/>
    </row>
    <row r="961" spans="1:10" ht="15" x14ac:dyDescent="0.2">
      <c r="A961" s="72"/>
      <c r="B961" s="72"/>
      <c r="C961" s="72"/>
      <c r="D961" s="72"/>
      <c r="E961" s="72"/>
      <c r="F961" s="72"/>
      <c r="G961" s="72"/>
      <c r="H961" s="72"/>
      <c r="I961" s="72"/>
      <c r="J961" s="72"/>
    </row>
    <row r="962" spans="1:10" ht="15" x14ac:dyDescent="0.2">
      <c r="A962" s="72"/>
      <c r="B962" s="72"/>
      <c r="C962" s="72"/>
      <c r="D962" s="72"/>
      <c r="E962" s="72"/>
      <c r="F962" s="72"/>
      <c r="G962" s="72"/>
      <c r="H962" s="72"/>
      <c r="I962" s="72"/>
      <c r="J962" s="72"/>
    </row>
    <row r="963" spans="1:10" ht="15" x14ac:dyDescent="0.2">
      <c r="A963" s="72"/>
      <c r="B963" s="72"/>
      <c r="C963" s="72"/>
      <c r="D963" s="72"/>
      <c r="E963" s="72"/>
      <c r="F963" s="72"/>
      <c r="G963" s="72"/>
      <c r="H963" s="72"/>
      <c r="I963" s="72"/>
      <c r="J963" s="72"/>
    </row>
    <row r="964" spans="1:10" ht="15" x14ac:dyDescent="0.2">
      <c r="A964" s="72"/>
      <c r="B964" s="72"/>
      <c r="C964" s="72"/>
      <c r="D964" s="72"/>
      <c r="E964" s="72"/>
      <c r="F964" s="72"/>
      <c r="G964" s="72"/>
      <c r="H964" s="72"/>
      <c r="I964" s="72"/>
      <c r="J964" s="72"/>
    </row>
    <row r="965" spans="1:10" ht="15" x14ac:dyDescent="0.2">
      <c r="A965" s="72"/>
      <c r="B965" s="72"/>
      <c r="C965" s="72"/>
      <c r="D965" s="72"/>
      <c r="E965" s="72"/>
      <c r="F965" s="72"/>
      <c r="G965" s="72"/>
      <c r="H965" s="72"/>
      <c r="I965" s="72"/>
      <c r="J965" s="72"/>
    </row>
    <row r="966" spans="1:10" ht="15" x14ac:dyDescent="0.2">
      <c r="A966" s="72"/>
      <c r="B966" s="72"/>
      <c r="C966" s="72"/>
      <c r="D966" s="72"/>
      <c r="E966" s="72"/>
      <c r="F966" s="72"/>
      <c r="G966" s="72"/>
      <c r="H966" s="72"/>
      <c r="I966" s="72"/>
      <c r="J966" s="72"/>
    </row>
    <row r="967" spans="1:10" ht="15" x14ac:dyDescent="0.2">
      <c r="A967" s="72"/>
      <c r="B967" s="72"/>
      <c r="C967" s="72"/>
      <c r="D967" s="72"/>
      <c r="E967" s="72"/>
      <c r="F967" s="72"/>
      <c r="G967" s="72"/>
      <c r="H967" s="72"/>
      <c r="I967" s="72"/>
      <c r="J967" s="72"/>
    </row>
    <row r="968" spans="1:10" ht="15" x14ac:dyDescent="0.2">
      <c r="A968" s="72"/>
      <c r="B968" s="72"/>
      <c r="C968" s="72"/>
      <c r="D968" s="72"/>
      <c r="E968" s="72"/>
      <c r="F968" s="72"/>
      <c r="G968" s="72"/>
      <c r="H968" s="72"/>
      <c r="I968" s="72"/>
      <c r="J968" s="72"/>
    </row>
    <row r="969" spans="1:10" ht="15" x14ac:dyDescent="0.2">
      <c r="A969" s="72"/>
      <c r="B969" s="72"/>
      <c r="C969" s="72"/>
      <c r="D969" s="72"/>
      <c r="E969" s="72"/>
      <c r="F969" s="72"/>
      <c r="G969" s="72"/>
      <c r="H969" s="72"/>
      <c r="I969" s="72"/>
      <c r="J969" s="72"/>
    </row>
    <row r="970" spans="1:10" ht="15" x14ac:dyDescent="0.2">
      <c r="A970" s="72"/>
      <c r="B970" s="72"/>
      <c r="C970" s="72"/>
      <c r="D970" s="72"/>
      <c r="E970" s="72"/>
      <c r="F970" s="72"/>
      <c r="G970" s="72"/>
      <c r="H970" s="72"/>
      <c r="I970" s="72"/>
      <c r="J970" s="72"/>
    </row>
    <row r="971" spans="1:10" ht="15" x14ac:dyDescent="0.2">
      <c r="A971" s="72"/>
      <c r="B971" s="72"/>
      <c r="C971" s="72"/>
      <c r="D971" s="72"/>
      <c r="E971" s="72"/>
      <c r="F971" s="72"/>
      <c r="G971" s="72"/>
      <c r="H971" s="72"/>
      <c r="I971" s="72"/>
      <c r="J971" s="72"/>
    </row>
    <row r="972" spans="1:10" ht="15" x14ac:dyDescent="0.2">
      <c r="A972" s="72"/>
      <c r="B972" s="72"/>
      <c r="C972" s="72"/>
      <c r="D972" s="72"/>
      <c r="E972" s="72"/>
      <c r="F972" s="72"/>
      <c r="G972" s="72"/>
      <c r="H972" s="72"/>
      <c r="I972" s="72"/>
      <c r="J972" s="72"/>
    </row>
    <row r="973" spans="1:10" ht="15" x14ac:dyDescent="0.2">
      <c r="A973" s="72"/>
      <c r="B973" s="72"/>
      <c r="C973" s="72"/>
      <c r="D973" s="72"/>
      <c r="E973" s="72"/>
      <c r="F973" s="72"/>
      <c r="G973" s="72"/>
      <c r="H973" s="72"/>
      <c r="I973" s="72"/>
      <c r="J973" s="72"/>
    </row>
    <row r="974" spans="1:10" ht="15" x14ac:dyDescent="0.2">
      <c r="A974" s="72"/>
      <c r="B974" s="72"/>
      <c r="C974" s="72"/>
      <c r="D974" s="72"/>
      <c r="E974" s="72"/>
      <c r="F974" s="72"/>
      <c r="G974" s="72"/>
      <c r="H974" s="72"/>
      <c r="I974" s="72"/>
      <c r="J974" s="72"/>
    </row>
    <row r="975" spans="1:10" ht="15" x14ac:dyDescent="0.2">
      <c r="A975" s="72"/>
      <c r="B975" s="72"/>
      <c r="C975" s="72"/>
      <c r="D975" s="72"/>
      <c r="E975" s="72"/>
      <c r="F975" s="72"/>
      <c r="G975" s="72"/>
      <c r="H975" s="72"/>
      <c r="I975" s="72"/>
      <c r="J975" s="72"/>
    </row>
    <row r="976" spans="1:10" ht="15" x14ac:dyDescent="0.2">
      <c r="A976" s="72"/>
      <c r="B976" s="72"/>
      <c r="C976" s="72"/>
      <c r="D976" s="72"/>
      <c r="E976" s="72"/>
      <c r="F976" s="72"/>
      <c r="G976" s="72"/>
      <c r="H976" s="72"/>
      <c r="I976" s="72"/>
      <c r="J976" s="72"/>
    </row>
    <row r="977" spans="1:10" ht="15" x14ac:dyDescent="0.2">
      <c r="A977" s="72"/>
      <c r="B977" s="72"/>
      <c r="C977" s="72"/>
      <c r="D977" s="72"/>
      <c r="E977" s="72"/>
      <c r="F977" s="72"/>
      <c r="G977" s="72"/>
      <c r="H977" s="72"/>
      <c r="I977" s="72"/>
      <c r="J977" s="72"/>
    </row>
    <row r="978" spans="1:10" ht="15" x14ac:dyDescent="0.2">
      <c r="A978" s="72"/>
      <c r="B978" s="72"/>
      <c r="C978" s="72"/>
      <c r="D978" s="72"/>
      <c r="E978" s="72"/>
      <c r="F978" s="72"/>
      <c r="G978" s="72"/>
      <c r="H978" s="72"/>
      <c r="I978" s="72"/>
      <c r="J978" s="72"/>
    </row>
    <row r="979" spans="1:10" ht="15" x14ac:dyDescent="0.2">
      <c r="A979" s="72"/>
      <c r="B979" s="72"/>
      <c r="C979" s="72"/>
      <c r="D979" s="72"/>
      <c r="E979" s="72"/>
      <c r="F979" s="72"/>
      <c r="G979" s="72"/>
      <c r="H979" s="72"/>
      <c r="I979" s="72"/>
      <c r="J979" s="72"/>
    </row>
    <row r="980" spans="1:10" ht="15" x14ac:dyDescent="0.2">
      <c r="A980" s="72"/>
      <c r="B980" s="72"/>
      <c r="C980" s="72"/>
      <c r="D980" s="72"/>
      <c r="E980" s="72"/>
      <c r="F980" s="72"/>
      <c r="G980" s="72"/>
      <c r="H980" s="72"/>
      <c r="I980" s="72"/>
      <c r="J980" s="72"/>
    </row>
    <row r="981" spans="1:10" ht="15" x14ac:dyDescent="0.2">
      <c r="A981" s="72"/>
      <c r="B981" s="72"/>
      <c r="C981" s="72"/>
      <c r="D981" s="72"/>
      <c r="E981" s="72"/>
      <c r="F981" s="72"/>
      <c r="G981" s="72"/>
      <c r="H981" s="72"/>
      <c r="I981" s="72"/>
      <c r="J981" s="72"/>
    </row>
    <row r="982" spans="1:10" ht="15" x14ac:dyDescent="0.2">
      <c r="A982" s="72"/>
      <c r="B982" s="72"/>
      <c r="C982" s="72"/>
      <c r="D982" s="72"/>
      <c r="E982" s="72"/>
      <c r="F982" s="72"/>
      <c r="G982" s="72"/>
      <c r="H982" s="72"/>
      <c r="I982" s="72"/>
      <c r="J982" s="72"/>
    </row>
    <row r="983" spans="1:10" ht="15" x14ac:dyDescent="0.2">
      <c r="A983" s="72"/>
      <c r="B983" s="72"/>
      <c r="C983" s="72"/>
      <c r="D983" s="72"/>
      <c r="E983" s="72"/>
      <c r="F983" s="72"/>
      <c r="G983" s="72"/>
      <c r="H983" s="72"/>
      <c r="I983" s="72"/>
      <c r="J983" s="72"/>
    </row>
    <row r="984" spans="1:10" ht="15" x14ac:dyDescent="0.2">
      <c r="A984" s="72"/>
      <c r="B984" s="72"/>
      <c r="C984" s="72"/>
      <c r="D984" s="72"/>
      <c r="E984" s="72"/>
      <c r="F984" s="72"/>
      <c r="G984" s="72"/>
      <c r="H984" s="72"/>
      <c r="I984" s="72"/>
      <c r="J984" s="72"/>
    </row>
    <row r="985" spans="1:10" ht="15" x14ac:dyDescent="0.2">
      <c r="A985" s="72"/>
      <c r="B985" s="72"/>
      <c r="C985" s="72"/>
      <c r="D985" s="72"/>
      <c r="E985" s="72"/>
      <c r="F985" s="72"/>
      <c r="G985" s="72"/>
      <c r="H985" s="72"/>
      <c r="I985" s="72"/>
      <c r="J985" s="72"/>
    </row>
    <row r="986" spans="1:10" ht="15" x14ac:dyDescent="0.2">
      <c r="A986" s="72"/>
      <c r="B986" s="72"/>
      <c r="C986" s="72"/>
      <c r="D986" s="72"/>
      <c r="E986" s="72"/>
      <c r="F986" s="72"/>
      <c r="G986" s="72"/>
      <c r="H986" s="72"/>
      <c r="I986" s="72"/>
      <c r="J986" s="72"/>
    </row>
    <row r="987" spans="1:10" ht="15" x14ac:dyDescent="0.2">
      <c r="A987" s="72"/>
      <c r="B987" s="72"/>
      <c r="C987" s="72"/>
      <c r="D987" s="72"/>
      <c r="E987" s="72"/>
      <c r="F987" s="72"/>
      <c r="G987" s="72"/>
      <c r="H987" s="72"/>
      <c r="I987" s="72"/>
      <c r="J987" s="72"/>
    </row>
    <row r="988" spans="1:10" ht="15" x14ac:dyDescent="0.2">
      <c r="A988" s="72"/>
      <c r="B988" s="72"/>
      <c r="C988" s="72"/>
      <c r="D988" s="72"/>
      <c r="E988" s="72"/>
      <c r="F988" s="72"/>
      <c r="G988" s="72"/>
      <c r="H988" s="72"/>
      <c r="I988" s="72"/>
      <c r="J988" s="72"/>
    </row>
    <row r="989" spans="1:10" ht="15" x14ac:dyDescent="0.2">
      <c r="A989" s="72"/>
      <c r="B989" s="72"/>
      <c r="C989" s="72"/>
      <c r="D989" s="72"/>
      <c r="E989" s="72"/>
      <c r="F989" s="72"/>
      <c r="G989" s="72"/>
      <c r="H989" s="72"/>
      <c r="I989" s="72"/>
      <c r="J989" s="72"/>
    </row>
    <row r="990" spans="1:10" ht="15" x14ac:dyDescent="0.2">
      <c r="A990" s="72"/>
      <c r="B990" s="72"/>
      <c r="C990" s="72"/>
      <c r="D990" s="72"/>
      <c r="E990" s="72"/>
      <c r="F990" s="72"/>
      <c r="G990" s="72"/>
      <c r="H990" s="72"/>
      <c r="I990" s="72"/>
      <c r="J990" s="72"/>
    </row>
    <row r="991" spans="1:10" ht="15" x14ac:dyDescent="0.2">
      <c r="A991" s="72"/>
      <c r="B991" s="72"/>
      <c r="C991" s="72"/>
      <c r="D991" s="72"/>
      <c r="E991" s="72"/>
      <c r="F991" s="72"/>
      <c r="G991" s="72"/>
      <c r="H991" s="72"/>
      <c r="I991" s="72"/>
      <c r="J991" s="72"/>
    </row>
    <row r="992" spans="1:10" ht="15" x14ac:dyDescent="0.2">
      <c r="A992" s="72"/>
      <c r="B992" s="72"/>
      <c r="C992" s="72"/>
      <c r="D992" s="72"/>
      <c r="E992" s="72"/>
      <c r="F992" s="72"/>
      <c r="G992" s="72"/>
      <c r="H992" s="72"/>
      <c r="I992" s="72"/>
      <c r="J992" s="72"/>
    </row>
    <row r="993" spans="1:10" ht="15" x14ac:dyDescent="0.2">
      <c r="A993" s="72"/>
      <c r="B993" s="72"/>
      <c r="C993" s="72"/>
      <c r="D993" s="72"/>
      <c r="E993" s="72"/>
      <c r="F993" s="72"/>
      <c r="G993" s="72"/>
      <c r="H993" s="72"/>
      <c r="I993" s="72"/>
      <c r="J993" s="72"/>
    </row>
    <row r="994" spans="1:10" ht="15" x14ac:dyDescent="0.2">
      <c r="A994" s="72"/>
      <c r="B994" s="72"/>
      <c r="C994" s="72"/>
      <c r="D994" s="72"/>
      <c r="E994" s="72"/>
      <c r="F994" s="72"/>
      <c r="G994" s="72"/>
      <c r="H994" s="72"/>
      <c r="I994" s="72"/>
      <c r="J994" s="72"/>
    </row>
    <row r="995" spans="1:10" ht="15" x14ac:dyDescent="0.2">
      <c r="A995" s="72"/>
      <c r="B995" s="72"/>
      <c r="C995" s="72"/>
      <c r="D995" s="72"/>
      <c r="E995" s="72"/>
      <c r="F995" s="72"/>
      <c r="G995" s="72"/>
      <c r="H995" s="72"/>
      <c r="I995" s="72"/>
      <c r="J995" s="72"/>
    </row>
    <row r="996" spans="1:10" ht="15" x14ac:dyDescent="0.2">
      <c r="A996" s="72"/>
      <c r="B996" s="72"/>
      <c r="C996" s="72"/>
      <c r="D996" s="72"/>
      <c r="E996" s="72"/>
      <c r="F996" s="72"/>
      <c r="G996" s="72"/>
      <c r="H996" s="72"/>
      <c r="I996" s="72"/>
      <c r="J996" s="72"/>
    </row>
    <row r="997" spans="1:10" ht="15" x14ac:dyDescent="0.2">
      <c r="A997" s="72"/>
      <c r="B997" s="72"/>
      <c r="C997" s="72"/>
      <c r="D997" s="72"/>
      <c r="E997" s="72"/>
      <c r="F997" s="72"/>
      <c r="G997" s="72"/>
      <c r="H997" s="72"/>
      <c r="I997" s="72"/>
      <c r="J997" s="72"/>
    </row>
    <row r="998" spans="1:10" ht="15" x14ac:dyDescent="0.2">
      <c r="A998" s="72"/>
      <c r="B998" s="72"/>
      <c r="C998" s="72"/>
      <c r="D998" s="72"/>
      <c r="E998" s="72"/>
      <c r="F998" s="72"/>
      <c r="G998" s="72"/>
      <c r="H998" s="72"/>
      <c r="I998" s="72"/>
      <c r="J998" s="72"/>
    </row>
    <row r="999" spans="1:10" ht="15" x14ac:dyDescent="0.2">
      <c r="A999" s="72"/>
      <c r="B999" s="72"/>
      <c r="C999" s="72"/>
      <c r="D999" s="72"/>
      <c r="E999" s="72"/>
      <c r="F999" s="72"/>
      <c r="G999" s="72"/>
      <c r="H999" s="72"/>
      <c r="I999" s="72"/>
      <c r="J999" s="72"/>
    </row>
    <row r="1000" spans="1:10" ht="15" x14ac:dyDescent="0.2">
      <c r="A1000" s="72"/>
      <c r="B1000" s="72"/>
      <c r="C1000" s="72"/>
      <c r="D1000" s="72"/>
      <c r="E1000" s="72"/>
      <c r="F1000" s="72"/>
      <c r="G1000" s="72"/>
      <c r="H1000" s="72"/>
      <c r="I1000" s="72"/>
      <c r="J1000" s="72"/>
    </row>
    <row r="1001" spans="1:10" ht="15" x14ac:dyDescent="0.2">
      <c r="A1001" s="72"/>
      <c r="B1001" s="72"/>
      <c r="C1001" s="72"/>
      <c r="D1001" s="72"/>
      <c r="E1001" s="72"/>
      <c r="F1001" s="72"/>
      <c r="G1001" s="72"/>
      <c r="H1001" s="72"/>
      <c r="I1001" s="72"/>
      <c r="J1001" s="72"/>
    </row>
    <row r="1002" spans="1:10" ht="15" x14ac:dyDescent="0.2">
      <c r="A1002" s="72"/>
      <c r="B1002" s="72"/>
      <c r="C1002" s="72"/>
      <c r="D1002" s="72"/>
      <c r="E1002" s="72"/>
      <c r="F1002" s="72"/>
      <c r="G1002" s="72"/>
      <c r="H1002" s="72"/>
      <c r="I1002" s="72"/>
      <c r="J1002" s="72"/>
    </row>
    <row r="1003" spans="1:10" ht="15" x14ac:dyDescent="0.2">
      <c r="A1003" s="72"/>
      <c r="B1003" s="72"/>
      <c r="C1003" s="72"/>
      <c r="D1003" s="72"/>
      <c r="E1003" s="72"/>
      <c r="F1003" s="72"/>
      <c r="G1003" s="72"/>
      <c r="H1003" s="72"/>
      <c r="I1003" s="72"/>
      <c r="J1003" s="72"/>
    </row>
    <row r="1004" spans="1:10" ht="15" x14ac:dyDescent="0.2">
      <c r="A1004" s="72"/>
      <c r="B1004" s="72"/>
      <c r="C1004" s="72"/>
      <c r="D1004" s="72"/>
      <c r="E1004" s="72"/>
      <c r="F1004" s="72"/>
      <c r="G1004" s="72"/>
      <c r="H1004" s="72"/>
      <c r="I1004" s="72"/>
      <c r="J1004" s="72"/>
    </row>
    <row r="1005" spans="1:10" ht="15" x14ac:dyDescent="0.2">
      <c r="A1005" s="72"/>
      <c r="B1005" s="72"/>
      <c r="C1005" s="72"/>
      <c r="D1005" s="72"/>
      <c r="E1005" s="72"/>
      <c r="F1005" s="72"/>
      <c r="G1005" s="72"/>
      <c r="H1005" s="72"/>
      <c r="I1005" s="72"/>
      <c r="J1005" s="72"/>
    </row>
    <row r="1006" spans="1:10" ht="15" x14ac:dyDescent="0.2">
      <c r="A1006" s="72"/>
      <c r="B1006" s="72"/>
      <c r="C1006" s="72"/>
      <c r="D1006" s="72"/>
      <c r="E1006" s="72"/>
      <c r="F1006" s="72"/>
      <c r="G1006" s="72"/>
      <c r="H1006" s="72"/>
      <c r="I1006" s="72"/>
      <c r="J1006" s="72"/>
    </row>
    <row r="1007" spans="1:10" ht="15" x14ac:dyDescent="0.2">
      <c r="A1007" s="72"/>
      <c r="B1007" s="72"/>
      <c r="C1007" s="72"/>
      <c r="D1007" s="72"/>
      <c r="E1007" s="72"/>
      <c r="F1007" s="72"/>
      <c r="G1007" s="72"/>
      <c r="H1007" s="72"/>
      <c r="I1007" s="72"/>
      <c r="J1007" s="72"/>
    </row>
    <row r="1008" spans="1:10" ht="15" x14ac:dyDescent="0.2">
      <c r="A1008" s="72"/>
      <c r="B1008" s="72"/>
      <c r="C1008" s="72"/>
      <c r="D1008" s="72"/>
      <c r="E1008" s="72"/>
      <c r="F1008" s="72"/>
      <c r="G1008" s="72"/>
      <c r="H1008" s="72"/>
      <c r="I1008" s="72"/>
      <c r="J1008" s="72"/>
    </row>
    <row r="1009" spans="1:10" ht="15" x14ac:dyDescent="0.2">
      <c r="A1009" s="72"/>
      <c r="B1009" s="72"/>
      <c r="C1009" s="72"/>
      <c r="D1009" s="72"/>
      <c r="E1009" s="72"/>
      <c r="F1009" s="72"/>
      <c r="G1009" s="72"/>
      <c r="H1009" s="72"/>
      <c r="I1009" s="72"/>
      <c r="J1009" s="72"/>
    </row>
    <row r="1010" spans="1:10" ht="15" x14ac:dyDescent="0.2">
      <c r="A1010" s="72"/>
      <c r="B1010" s="72"/>
      <c r="C1010" s="72"/>
      <c r="D1010" s="72"/>
      <c r="E1010" s="72"/>
      <c r="F1010" s="72"/>
      <c r="G1010" s="72"/>
      <c r="H1010" s="72"/>
      <c r="I1010" s="72"/>
      <c r="J1010" s="72"/>
    </row>
    <row r="1011" spans="1:10" ht="15" x14ac:dyDescent="0.2">
      <c r="A1011" s="72"/>
      <c r="B1011" s="72"/>
      <c r="C1011" s="72"/>
      <c r="D1011" s="72"/>
      <c r="E1011" s="72"/>
      <c r="F1011" s="72"/>
      <c r="G1011" s="72"/>
      <c r="H1011" s="72"/>
      <c r="I1011" s="72"/>
      <c r="J1011" s="72"/>
    </row>
    <row r="1012" spans="1:10" ht="15" x14ac:dyDescent="0.2">
      <c r="A1012" s="72"/>
      <c r="B1012" s="72"/>
      <c r="C1012" s="72"/>
      <c r="D1012" s="72"/>
      <c r="E1012" s="72"/>
      <c r="F1012" s="72"/>
      <c r="G1012" s="72"/>
      <c r="H1012" s="72"/>
      <c r="I1012" s="72"/>
      <c r="J1012" s="72"/>
    </row>
    <row r="1013" spans="1:10" ht="15" x14ac:dyDescent="0.2">
      <c r="A1013" s="72"/>
      <c r="B1013" s="72"/>
      <c r="C1013" s="72"/>
      <c r="D1013" s="72"/>
      <c r="E1013" s="72"/>
      <c r="F1013" s="72"/>
      <c r="G1013" s="72"/>
      <c r="H1013" s="72"/>
      <c r="I1013" s="72"/>
      <c r="J1013" s="72"/>
    </row>
    <row r="1014" spans="1:10" ht="15" x14ac:dyDescent="0.2">
      <c r="A1014" s="72"/>
      <c r="B1014" s="72"/>
      <c r="C1014" s="72"/>
      <c r="D1014" s="72"/>
      <c r="E1014" s="72"/>
      <c r="F1014" s="72"/>
      <c r="G1014" s="72"/>
      <c r="H1014" s="72"/>
      <c r="I1014" s="72"/>
      <c r="J1014" s="72"/>
    </row>
    <row r="1015" spans="1:10" ht="15" x14ac:dyDescent="0.2">
      <c r="A1015" s="72"/>
      <c r="B1015" s="72"/>
      <c r="C1015" s="72"/>
      <c r="D1015" s="72"/>
      <c r="E1015" s="72"/>
      <c r="F1015" s="72"/>
      <c r="G1015" s="72"/>
      <c r="H1015" s="72"/>
      <c r="I1015" s="72"/>
      <c r="J1015" s="72"/>
    </row>
    <row r="1016" spans="1:10" ht="15" x14ac:dyDescent="0.2">
      <c r="A1016" s="72"/>
      <c r="B1016" s="72"/>
      <c r="C1016" s="72"/>
      <c r="D1016" s="72"/>
      <c r="E1016" s="72"/>
      <c r="F1016" s="72"/>
      <c r="G1016" s="72"/>
      <c r="H1016" s="72"/>
      <c r="I1016" s="72"/>
      <c r="J1016" s="72"/>
    </row>
    <row r="1017" spans="1:10" ht="15" x14ac:dyDescent="0.2">
      <c r="A1017" s="72"/>
      <c r="B1017" s="72"/>
      <c r="C1017" s="72"/>
      <c r="D1017" s="72"/>
      <c r="E1017" s="72"/>
      <c r="F1017" s="72"/>
      <c r="G1017" s="72"/>
      <c r="H1017" s="72"/>
      <c r="I1017" s="72"/>
      <c r="J1017" s="72"/>
    </row>
    <row r="1018" spans="1:10" ht="15" x14ac:dyDescent="0.2">
      <c r="A1018" s="72"/>
      <c r="B1018" s="72"/>
      <c r="C1018" s="72"/>
      <c r="D1018" s="72"/>
      <c r="E1018" s="72"/>
      <c r="F1018" s="72"/>
      <c r="G1018" s="72"/>
      <c r="H1018" s="72"/>
      <c r="I1018" s="72"/>
      <c r="J1018" s="72"/>
    </row>
    <row r="1019" spans="1:10" ht="15" x14ac:dyDescent="0.2">
      <c r="A1019" s="72"/>
      <c r="B1019" s="72"/>
      <c r="C1019" s="72"/>
      <c r="D1019" s="72"/>
      <c r="E1019" s="72"/>
      <c r="F1019" s="72"/>
      <c r="G1019" s="72"/>
      <c r="H1019" s="72"/>
      <c r="I1019" s="72"/>
      <c r="J1019" s="72"/>
    </row>
    <row r="1020" spans="1:10" ht="15" x14ac:dyDescent="0.2">
      <c r="A1020" s="72"/>
      <c r="B1020" s="72"/>
      <c r="C1020" s="72"/>
      <c r="D1020" s="72"/>
      <c r="E1020" s="72"/>
      <c r="F1020" s="72"/>
      <c r="G1020" s="72"/>
      <c r="H1020" s="72"/>
      <c r="I1020" s="72"/>
      <c r="J1020" s="72"/>
    </row>
    <row r="1021" spans="1:10" ht="15" x14ac:dyDescent="0.2">
      <c r="A1021" s="72"/>
      <c r="B1021" s="72"/>
      <c r="C1021" s="72"/>
      <c r="D1021" s="72"/>
      <c r="E1021" s="72"/>
      <c r="F1021" s="72"/>
      <c r="G1021" s="72"/>
      <c r="H1021" s="72"/>
      <c r="I1021" s="72"/>
      <c r="J1021" s="72"/>
    </row>
    <row r="1022" spans="1:10" ht="15" x14ac:dyDescent="0.2">
      <c r="A1022" s="72"/>
      <c r="B1022" s="72"/>
      <c r="C1022" s="72"/>
      <c r="D1022" s="72"/>
      <c r="E1022" s="72"/>
      <c r="F1022" s="72"/>
      <c r="G1022" s="72"/>
      <c r="H1022" s="72"/>
      <c r="I1022" s="72"/>
      <c r="J1022" s="72"/>
    </row>
    <row r="1023" spans="1:10" ht="15" x14ac:dyDescent="0.2">
      <c r="A1023" s="72"/>
      <c r="B1023" s="72"/>
      <c r="C1023" s="72"/>
      <c r="D1023" s="72"/>
      <c r="E1023" s="72"/>
      <c r="F1023" s="72"/>
      <c r="G1023" s="72"/>
      <c r="H1023" s="72"/>
      <c r="I1023" s="72"/>
      <c r="J1023" s="72"/>
    </row>
    <row r="1024" spans="1:10" ht="15" x14ac:dyDescent="0.2">
      <c r="A1024" s="72"/>
      <c r="B1024" s="72"/>
      <c r="C1024" s="72"/>
      <c r="D1024" s="72"/>
      <c r="E1024" s="72"/>
      <c r="F1024" s="72"/>
      <c r="G1024" s="72"/>
      <c r="H1024" s="72"/>
      <c r="I1024" s="72"/>
      <c r="J1024" s="72"/>
    </row>
    <row r="1025" spans="1:10" ht="15" x14ac:dyDescent="0.2">
      <c r="A1025" s="72"/>
      <c r="B1025" s="72"/>
      <c r="C1025" s="72"/>
      <c r="D1025" s="72"/>
      <c r="E1025" s="72"/>
      <c r="F1025" s="72"/>
      <c r="G1025" s="72"/>
      <c r="H1025" s="72"/>
      <c r="I1025" s="72"/>
      <c r="J1025" s="72"/>
    </row>
    <row r="1026" spans="1:10" ht="15" x14ac:dyDescent="0.2">
      <c r="A1026" s="72"/>
      <c r="B1026" s="72"/>
      <c r="C1026" s="72"/>
      <c r="D1026" s="72"/>
      <c r="E1026" s="72"/>
      <c r="F1026" s="72"/>
      <c r="G1026" s="72"/>
      <c r="H1026" s="72"/>
      <c r="I1026" s="72"/>
      <c r="J1026" s="72"/>
    </row>
    <row r="1027" spans="1:10" ht="15" x14ac:dyDescent="0.2">
      <c r="A1027" s="72"/>
      <c r="B1027" s="72"/>
      <c r="C1027" s="72"/>
      <c r="D1027" s="72"/>
      <c r="E1027" s="72"/>
      <c r="F1027" s="72"/>
      <c r="G1027" s="72"/>
      <c r="H1027" s="72"/>
      <c r="I1027" s="72"/>
      <c r="J1027" s="72"/>
    </row>
    <row r="1028" spans="1:10" ht="15" x14ac:dyDescent="0.2">
      <c r="A1028" s="72"/>
      <c r="B1028" s="72"/>
      <c r="C1028" s="72"/>
      <c r="D1028" s="72"/>
      <c r="E1028" s="72"/>
      <c r="F1028" s="72"/>
      <c r="G1028" s="72"/>
      <c r="H1028" s="72"/>
      <c r="I1028" s="72"/>
      <c r="J1028" s="72"/>
    </row>
    <row r="1029" spans="1:10" ht="15" x14ac:dyDescent="0.2">
      <c r="A1029" s="72"/>
      <c r="B1029" s="72"/>
      <c r="C1029" s="72"/>
      <c r="D1029" s="72"/>
      <c r="E1029" s="72"/>
      <c r="F1029" s="72"/>
      <c r="G1029" s="72"/>
      <c r="H1029" s="72"/>
      <c r="I1029" s="72"/>
      <c r="J1029" s="72"/>
    </row>
    <row r="1030" spans="1:10" ht="15" x14ac:dyDescent="0.2">
      <c r="A1030" s="72"/>
      <c r="B1030" s="72"/>
      <c r="C1030" s="72"/>
      <c r="D1030" s="72"/>
      <c r="E1030" s="72"/>
      <c r="F1030" s="72"/>
      <c r="G1030" s="72"/>
      <c r="H1030" s="72"/>
      <c r="I1030" s="72"/>
      <c r="J1030" s="72"/>
    </row>
    <row r="1031" spans="1:10" ht="15" x14ac:dyDescent="0.2">
      <c r="A1031" s="72"/>
      <c r="B1031" s="72"/>
      <c r="C1031" s="72"/>
      <c r="D1031" s="72"/>
      <c r="E1031" s="72"/>
      <c r="F1031" s="72"/>
      <c r="G1031" s="72"/>
      <c r="H1031" s="72"/>
      <c r="I1031" s="72"/>
      <c r="J1031" s="72"/>
    </row>
    <row r="1032" spans="1:10" ht="15" x14ac:dyDescent="0.2">
      <c r="A1032" s="72"/>
      <c r="B1032" s="72"/>
      <c r="C1032" s="72"/>
      <c r="D1032" s="72"/>
      <c r="E1032" s="72"/>
      <c r="F1032" s="72"/>
      <c r="G1032" s="72"/>
      <c r="H1032" s="72"/>
      <c r="I1032" s="72"/>
      <c r="J1032" s="72"/>
    </row>
    <row r="1033" spans="1:10" ht="15" x14ac:dyDescent="0.2">
      <c r="A1033" s="72"/>
      <c r="B1033" s="72"/>
      <c r="C1033" s="72"/>
      <c r="D1033" s="72"/>
      <c r="E1033" s="72"/>
      <c r="F1033" s="72"/>
      <c r="G1033" s="72"/>
      <c r="H1033" s="72"/>
      <c r="I1033" s="72"/>
      <c r="J1033" s="72"/>
    </row>
    <row r="1034" spans="1:10" ht="15" x14ac:dyDescent="0.2">
      <c r="A1034" s="72"/>
      <c r="B1034" s="72"/>
      <c r="C1034" s="72"/>
      <c r="D1034" s="72"/>
      <c r="E1034" s="72"/>
      <c r="F1034" s="72"/>
      <c r="G1034" s="72"/>
      <c r="H1034" s="72"/>
      <c r="I1034" s="72"/>
      <c r="J1034" s="72"/>
    </row>
    <row r="1035" spans="1:10" ht="15" x14ac:dyDescent="0.2">
      <c r="A1035" s="72"/>
      <c r="B1035" s="72"/>
      <c r="C1035" s="72"/>
      <c r="D1035" s="72"/>
      <c r="E1035" s="72"/>
      <c r="F1035" s="72"/>
      <c r="G1035" s="72"/>
      <c r="H1035" s="72"/>
      <c r="I1035" s="72"/>
      <c r="J1035" s="72"/>
    </row>
    <row r="1036" spans="1:10" ht="15" x14ac:dyDescent="0.2">
      <c r="A1036" s="72"/>
      <c r="B1036" s="72"/>
      <c r="C1036" s="72"/>
      <c r="D1036" s="72"/>
      <c r="E1036" s="72"/>
      <c r="F1036" s="72"/>
      <c r="G1036" s="72"/>
      <c r="H1036" s="72"/>
      <c r="I1036" s="72"/>
      <c r="J1036" s="72"/>
    </row>
    <row r="1037" spans="1:10" ht="15" x14ac:dyDescent="0.2">
      <c r="A1037" s="72"/>
      <c r="B1037" s="72"/>
      <c r="C1037" s="72"/>
      <c r="D1037" s="72"/>
      <c r="E1037" s="72"/>
      <c r="F1037" s="72"/>
      <c r="G1037" s="72"/>
      <c r="H1037" s="72"/>
      <c r="I1037" s="72"/>
      <c r="J1037" s="72"/>
    </row>
    <row r="1038" spans="1:10" ht="15" x14ac:dyDescent="0.2">
      <c r="A1038" s="72"/>
      <c r="B1038" s="72"/>
      <c r="C1038" s="72"/>
      <c r="D1038" s="72"/>
      <c r="E1038" s="72"/>
      <c r="F1038" s="72"/>
      <c r="G1038" s="72"/>
      <c r="H1038" s="72"/>
      <c r="I1038" s="72"/>
      <c r="J1038" s="72"/>
    </row>
    <row r="1039" spans="1:10" ht="15" x14ac:dyDescent="0.2">
      <c r="A1039" s="72"/>
      <c r="B1039" s="72"/>
      <c r="C1039" s="72"/>
      <c r="D1039" s="72"/>
      <c r="E1039" s="72"/>
      <c r="F1039" s="72"/>
      <c r="G1039" s="72"/>
      <c r="H1039" s="72"/>
      <c r="I1039" s="72"/>
      <c r="J1039" s="72"/>
    </row>
    <row r="1040" spans="1:10" ht="15" x14ac:dyDescent="0.2">
      <c r="A1040" s="72"/>
      <c r="B1040" s="72"/>
      <c r="C1040" s="72"/>
      <c r="D1040" s="72"/>
      <c r="E1040" s="72"/>
      <c r="F1040" s="72"/>
      <c r="G1040" s="72"/>
      <c r="H1040" s="72"/>
      <c r="I1040" s="72"/>
      <c r="J1040" s="72"/>
    </row>
    <row r="1041" spans="1:10" ht="15" x14ac:dyDescent="0.2">
      <c r="A1041" s="72"/>
      <c r="B1041" s="72"/>
      <c r="C1041" s="72"/>
      <c r="D1041" s="72"/>
      <c r="E1041" s="72"/>
      <c r="F1041" s="72"/>
      <c r="G1041" s="72"/>
      <c r="H1041" s="72"/>
      <c r="I1041" s="72"/>
      <c r="J1041" s="72"/>
    </row>
    <row r="1042" spans="1:10" ht="15" x14ac:dyDescent="0.2">
      <c r="A1042" s="72"/>
      <c r="B1042" s="72"/>
      <c r="C1042" s="72"/>
      <c r="D1042" s="72"/>
      <c r="E1042" s="72"/>
      <c r="F1042" s="72"/>
      <c r="G1042" s="72"/>
      <c r="H1042" s="72"/>
      <c r="I1042" s="72"/>
      <c r="J1042" s="72"/>
    </row>
    <row r="1043" spans="1:10" ht="15" x14ac:dyDescent="0.2">
      <c r="A1043" s="72"/>
      <c r="B1043" s="72"/>
      <c r="C1043" s="72"/>
      <c r="D1043" s="72"/>
      <c r="E1043" s="72"/>
      <c r="F1043" s="72"/>
      <c r="G1043" s="72"/>
      <c r="H1043" s="72"/>
      <c r="I1043" s="72"/>
      <c r="J1043" s="72"/>
    </row>
    <row r="1044" spans="1:10" ht="15" x14ac:dyDescent="0.2">
      <c r="A1044" s="72"/>
      <c r="B1044" s="72"/>
      <c r="C1044" s="72"/>
      <c r="D1044" s="72"/>
      <c r="E1044" s="72"/>
      <c r="F1044" s="72"/>
      <c r="G1044" s="72"/>
      <c r="H1044" s="72"/>
      <c r="I1044" s="72"/>
      <c r="J1044" s="72"/>
    </row>
    <row r="1045" spans="1:10" ht="15" x14ac:dyDescent="0.2">
      <c r="A1045" s="72"/>
      <c r="B1045" s="72"/>
      <c r="C1045" s="72"/>
      <c r="D1045" s="72"/>
      <c r="E1045" s="72"/>
      <c r="F1045" s="72"/>
      <c r="G1045" s="72"/>
      <c r="H1045" s="72"/>
      <c r="I1045" s="72"/>
      <c r="J1045" s="72"/>
    </row>
    <row r="1046" spans="1:10" ht="15" x14ac:dyDescent="0.2">
      <c r="A1046" s="72"/>
      <c r="B1046" s="72"/>
      <c r="C1046" s="72"/>
      <c r="D1046" s="72"/>
      <c r="E1046" s="72"/>
      <c r="F1046" s="72"/>
      <c r="G1046" s="72"/>
      <c r="H1046" s="72"/>
      <c r="I1046" s="72"/>
      <c r="J1046" s="72"/>
    </row>
    <row r="1047" spans="1:10" ht="15" x14ac:dyDescent="0.2">
      <c r="A1047" s="72"/>
      <c r="B1047" s="72"/>
      <c r="C1047" s="72"/>
      <c r="D1047" s="72"/>
      <c r="E1047" s="72"/>
      <c r="F1047" s="72"/>
      <c r="G1047" s="72"/>
      <c r="H1047" s="72"/>
      <c r="I1047" s="72"/>
      <c r="J1047" s="72"/>
    </row>
    <row r="1048" spans="1:10" ht="15" x14ac:dyDescent="0.2">
      <c r="A1048" s="72"/>
      <c r="B1048" s="72"/>
      <c r="C1048" s="72"/>
      <c r="D1048" s="72"/>
      <c r="E1048" s="72"/>
      <c r="F1048" s="72"/>
      <c r="G1048" s="72"/>
      <c r="H1048" s="72"/>
      <c r="I1048" s="72"/>
      <c r="J1048" s="72"/>
    </row>
    <row r="1049" spans="1:10" ht="15" x14ac:dyDescent="0.2">
      <c r="A1049" s="72"/>
      <c r="B1049" s="72"/>
      <c r="C1049" s="72"/>
      <c r="D1049" s="72"/>
      <c r="E1049" s="72"/>
      <c r="F1049" s="72"/>
      <c r="G1049" s="72"/>
      <c r="H1049" s="72"/>
      <c r="I1049" s="72"/>
      <c r="J1049" s="72"/>
    </row>
    <row r="1050" spans="1:10" ht="15" x14ac:dyDescent="0.2">
      <c r="A1050" s="72"/>
      <c r="B1050" s="72"/>
      <c r="C1050" s="72"/>
      <c r="D1050" s="72"/>
      <c r="E1050" s="72"/>
      <c r="F1050" s="72"/>
      <c r="G1050" s="72"/>
      <c r="H1050" s="72"/>
      <c r="I1050" s="72"/>
      <c r="J1050" s="72"/>
    </row>
    <row r="1051" spans="1:10" ht="15" x14ac:dyDescent="0.2">
      <c r="A1051" s="72"/>
      <c r="B1051" s="72"/>
      <c r="C1051" s="72"/>
      <c r="D1051" s="72"/>
      <c r="E1051" s="72"/>
      <c r="F1051" s="72"/>
      <c r="G1051" s="72"/>
      <c r="H1051" s="72"/>
      <c r="I1051" s="72"/>
      <c r="J1051" s="72"/>
    </row>
    <row r="1052" spans="1:10" ht="15" x14ac:dyDescent="0.2">
      <c r="A1052" s="72"/>
      <c r="B1052" s="72"/>
      <c r="C1052" s="72"/>
      <c r="D1052" s="72"/>
      <c r="E1052" s="72"/>
      <c r="F1052" s="72"/>
      <c r="G1052" s="72"/>
      <c r="H1052" s="72"/>
      <c r="I1052" s="72"/>
      <c r="J1052" s="72"/>
    </row>
    <row r="1053" spans="1:10" ht="15" x14ac:dyDescent="0.2">
      <c r="A1053" s="72"/>
      <c r="B1053" s="72"/>
      <c r="C1053" s="72"/>
      <c r="D1053" s="72"/>
      <c r="E1053" s="72"/>
      <c r="F1053" s="72"/>
      <c r="G1053" s="72"/>
      <c r="H1053" s="72"/>
      <c r="I1053" s="72"/>
      <c r="J1053" s="72"/>
    </row>
    <row r="1054" spans="1:10" ht="15" x14ac:dyDescent="0.2">
      <c r="A1054" s="72"/>
      <c r="B1054" s="72"/>
      <c r="C1054" s="72"/>
      <c r="D1054" s="72"/>
      <c r="E1054" s="72"/>
      <c r="F1054" s="72"/>
      <c r="G1054" s="72"/>
      <c r="H1054" s="72"/>
      <c r="I1054" s="72"/>
      <c r="J1054" s="72"/>
    </row>
    <row r="1055" spans="1:10" ht="15" x14ac:dyDescent="0.2">
      <c r="A1055" s="72"/>
      <c r="B1055" s="72"/>
      <c r="C1055" s="72"/>
      <c r="D1055" s="72"/>
      <c r="E1055" s="72"/>
      <c r="F1055" s="72"/>
      <c r="G1055" s="72"/>
      <c r="H1055" s="72"/>
      <c r="I1055" s="72"/>
      <c r="J1055" s="72"/>
    </row>
    <row r="1056" spans="1:10" ht="15" x14ac:dyDescent="0.2">
      <c r="A1056" s="72"/>
      <c r="B1056" s="72"/>
      <c r="C1056" s="72"/>
      <c r="D1056" s="72"/>
      <c r="E1056" s="72"/>
      <c r="F1056" s="72"/>
      <c r="G1056" s="72"/>
      <c r="H1056" s="72"/>
      <c r="I1056" s="72"/>
      <c r="J1056" s="72"/>
    </row>
    <row r="1057" spans="1:10" ht="15" x14ac:dyDescent="0.2">
      <c r="A1057" s="72"/>
      <c r="B1057" s="72"/>
      <c r="C1057" s="72"/>
      <c r="D1057" s="72"/>
      <c r="E1057" s="72"/>
      <c r="F1057" s="72"/>
      <c r="G1057" s="72"/>
      <c r="H1057" s="72"/>
      <c r="I1057" s="72"/>
      <c r="J1057" s="72"/>
    </row>
    <row r="1058" spans="1:10" ht="15" x14ac:dyDescent="0.2">
      <c r="A1058" s="72"/>
      <c r="B1058" s="72"/>
      <c r="C1058" s="72"/>
      <c r="D1058" s="72"/>
      <c r="E1058" s="72"/>
      <c r="F1058" s="72"/>
      <c r="G1058" s="72"/>
      <c r="H1058" s="72"/>
      <c r="I1058" s="72"/>
      <c r="J1058" s="72"/>
    </row>
    <row r="1059" spans="1:10" ht="15" x14ac:dyDescent="0.2">
      <c r="A1059" s="72"/>
      <c r="B1059" s="72"/>
      <c r="C1059" s="72"/>
      <c r="D1059" s="72"/>
      <c r="E1059" s="72"/>
      <c r="F1059" s="72"/>
      <c r="G1059" s="72"/>
      <c r="H1059" s="72"/>
      <c r="I1059" s="72"/>
      <c r="J1059" s="72"/>
    </row>
    <row r="1060" spans="1:10" ht="15" x14ac:dyDescent="0.2">
      <c r="A1060" s="72"/>
      <c r="B1060" s="72"/>
      <c r="C1060" s="72"/>
      <c r="D1060" s="72"/>
      <c r="E1060" s="72"/>
      <c r="F1060" s="72"/>
      <c r="G1060" s="72"/>
      <c r="H1060" s="72"/>
      <c r="I1060" s="72"/>
      <c r="J1060" s="72"/>
    </row>
    <row r="1061" spans="1:10" ht="15" x14ac:dyDescent="0.2">
      <c r="A1061" s="72"/>
      <c r="B1061" s="72"/>
      <c r="C1061" s="72"/>
      <c r="D1061" s="72"/>
      <c r="E1061" s="72"/>
      <c r="F1061" s="72"/>
      <c r="G1061" s="72"/>
      <c r="H1061" s="72"/>
      <c r="I1061" s="72"/>
      <c r="J1061" s="72"/>
    </row>
    <row r="1062" spans="1:10" ht="15" x14ac:dyDescent="0.2">
      <c r="A1062" s="72"/>
      <c r="B1062" s="72"/>
      <c r="C1062" s="72"/>
      <c r="D1062" s="72"/>
      <c r="E1062" s="72"/>
      <c r="F1062" s="72"/>
      <c r="G1062" s="72"/>
      <c r="H1062" s="72"/>
      <c r="I1062" s="72"/>
      <c r="J1062" s="72"/>
    </row>
    <row r="1063" spans="1:10" ht="15" x14ac:dyDescent="0.2">
      <c r="A1063" s="72"/>
      <c r="B1063" s="72"/>
      <c r="C1063" s="72"/>
      <c r="D1063" s="72"/>
      <c r="E1063" s="72"/>
      <c r="F1063" s="72"/>
      <c r="G1063" s="72"/>
      <c r="H1063" s="72"/>
      <c r="I1063" s="72"/>
      <c r="J1063" s="72"/>
    </row>
    <row r="1064" spans="1:10" ht="15" x14ac:dyDescent="0.2">
      <c r="A1064" s="72"/>
      <c r="B1064" s="72"/>
      <c r="C1064" s="72"/>
      <c r="D1064" s="72"/>
      <c r="E1064" s="72"/>
      <c r="F1064" s="72"/>
      <c r="G1064" s="72"/>
      <c r="H1064" s="72"/>
      <c r="I1064" s="72"/>
      <c r="J1064" s="72"/>
    </row>
    <row r="1065" spans="1:10" ht="15" x14ac:dyDescent="0.2">
      <c r="A1065" s="72"/>
      <c r="B1065" s="72"/>
      <c r="C1065" s="72"/>
      <c r="D1065" s="72"/>
      <c r="E1065" s="72"/>
      <c r="F1065" s="72"/>
      <c r="G1065" s="72"/>
      <c r="H1065" s="72"/>
      <c r="I1065" s="72"/>
      <c r="J1065" s="72"/>
    </row>
    <row r="1066" spans="1:10" ht="15" x14ac:dyDescent="0.2">
      <c r="A1066" s="72"/>
      <c r="B1066" s="72"/>
      <c r="C1066" s="72"/>
      <c r="D1066" s="72"/>
      <c r="E1066" s="72"/>
      <c r="F1066" s="72"/>
      <c r="G1066" s="72"/>
      <c r="H1066" s="72"/>
      <c r="I1066" s="72"/>
      <c r="J1066" s="72"/>
    </row>
    <row r="1067" spans="1:10" ht="15" x14ac:dyDescent="0.2">
      <c r="A1067" s="72"/>
      <c r="B1067" s="72"/>
      <c r="C1067" s="72"/>
      <c r="D1067" s="72"/>
      <c r="E1067" s="72"/>
      <c r="F1067" s="72"/>
      <c r="G1067" s="72"/>
      <c r="H1067" s="72"/>
      <c r="I1067" s="72"/>
      <c r="J1067" s="72"/>
    </row>
    <row r="1068" spans="1:10" ht="15" x14ac:dyDescent="0.2">
      <c r="A1068" s="72"/>
      <c r="B1068" s="72"/>
      <c r="C1068" s="72"/>
      <c r="D1068" s="72"/>
      <c r="E1068" s="72"/>
      <c r="F1068" s="72"/>
      <c r="G1068" s="72"/>
      <c r="H1068" s="72"/>
      <c r="I1068" s="72"/>
      <c r="J1068" s="72"/>
    </row>
    <row r="1069" spans="1:10" ht="15" x14ac:dyDescent="0.2">
      <c r="A1069" s="72"/>
      <c r="B1069" s="72"/>
      <c r="C1069" s="72"/>
      <c r="D1069" s="72"/>
      <c r="E1069" s="72"/>
      <c r="F1069" s="72"/>
      <c r="G1069" s="72"/>
      <c r="H1069" s="72"/>
      <c r="I1069" s="72"/>
      <c r="J1069" s="72"/>
    </row>
    <row r="1070" spans="1:10" ht="15" x14ac:dyDescent="0.2">
      <c r="A1070" s="72"/>
      <c r="B1070" s="72"/>
      <c r="C1070" s="72"/>
      <c r="D1070" s="72"/>
      <c r="E1070" s="72"/>
      <c r="F1070" s="72"/>
      <c r="G1070" s="72"/>
      <c r="H1070" s="72"/>
      <c r="I1070" s="72"/>
      <c r="J1070" s="72"/>
    </row>
    <row r="1071" spans="1:10" ht="15" x14ac:dyDescent="0.2">
      <c r="A1071" s="72"/>
      <c r="B1071" s="72"/>
      <c r="C1071" s="72"/>
      <c r="D1071" s="72"/>
      <c r="E1071" s="72"/>
      <c r="F1071" s="72"/>
      <c r="G1071" s="72"/>
      <c r="H1071" s="72"/>
      <c r="I1071" s="72"/>
      <c r="J1071" s="72"/>
    </row>
    <row r="1072" spans="1:10" ht="15" x14ac:dyDescent="0.2">
      <c r="A1072" s="72"/>
      <c r="B1072" s="72"/>
      <c r="C1072" s="72"/>
      <c r="D1072" s="72"/>
      <c r="E1072" s="72"/>
      <c r="F1072" s="72"/>
      <c r="G1072" s="72"/>
      <c r="H1072" s="72"/>
      <c r="I1072" s="72"/>
      <c r="J1072" s="72"/>
    </row>
    <row r="1073" spans="1:10" ht="15" x14ac:dyDescent="0.2">
      <c r="A1073" s="72"/>
      <c r="B1073" s="72"/>
      <c r="C1073" s="72"/>
      <c r="D1073" s="72"/>
      <c r="E1073" s="72"/>
      <c r="F1073" s="72"/>
      <c r="G1073" s="72"/>
      <c r="H1073" s="72"/>
      <c r="I1073" s="72"/>
      <c r="J1073" s="72"/>
    </row>
    <row r="1074" spans="1:10" ht="15" x14ac:dyDescent="0.2">
      <c r="A1074" s="72"/>
      <c r="B1074" s="72"/>
      <c r="C1074" s="72"/>
      <c r="D1074" s="72"/>
      <c r="E1074" s="72"/>
      <c r="F1074" s="72"/>
      <c r="G1074" s="72"/>
      <c r="H1074" s="72"/>
      <c r="I1074" s="72"/>
      <c r="J1074" s="72"/>
    </row>
    <row r="1075" spans="1:10" ht="15" x14ac:dyDescent="0.2">
      <c r="A1075" s="72"/>
      <c r="B1075" s="72"/>
      <c r="C1075" s="72"/>
      <c r="D1075" s="72"/>
      <c r="E1075" s="72"/>
      <c r="F1075" s="72"/>
      <c r="G1075" s="72"/>
      <c r="H1075" s="72"/>
      <c r="I1075" s="72"/>
      <c r="J1075" s="72"/>
    </row>
    <row r="1076" spans="1:10" ht="15" x14ac:dyDescent="0.2">
      <c r="A1076" s="72"/>
      <c r="B1076" s="72"/>
      <c r="C1076" s="72"/>
      <c r="D1076" s="72"/>
      <c r="E1076" s="72"/>
      <c r="F1076" s="72"/>
      <c r="G1076" s="72"/>
      <c r="H1076" s="72"/>
      <c r="I1076" s="72"/>
      <c r="J1076" s="72"/>
    </row>
    <row r="1077" spans="1:10" ht="15" x14ac:dyDescent="0.2">
      <c r="A1077" s="72"/>
      <c r="B1077" s="72"/>
      <c r="C1077" s="72"/>
      <c r="D1077" s="72"/>
      <c r="E1077" s="72"/>
      <c r="F1077" s="72"/>
      <c r="G1077" s="72"/>
      <c r="H1077" s="72"/>
      <c r="I1077" s="72"/>
      <c r="J1077" s="72"/>
    </row>
    <row r="1078" spans="1:10" ht="15" x14ac:dyDescent="0.2">
      <c r="A1078" s="72"/>
      <c r="B1078" s="72"/>
      <c r="C1078" s="72"/>
      <c r="D1078" s="72"/>
      <c r="E1078" s="72"/>
      <c r="F1078" s="72"/>
      <c r="G1078" s="72"/>
      <c r="H1078" s="72"/>
      <c r="I1078" s="72"/>
      <c r="J1078" s="72"/>
    </row>
    <row r="1079" spans="1:10" ht="15" x14ac:dyDescent="0.2">
      <c r="A1079" s="72"/>
      <c r="B1079" s="72"/>
      <c r="C1079" s="72"/>
      <c r="D1079" s="72"/>
      <c r="E1079" s="72"/>
      <c r="F1079" s="72"/>
      <c r="G1079" s="72"/>
      <c r="H1079" s="72"/>
      <c r="I1079" s="72"/>
      <c r="J1079" s="72"/>
    </row>
    <row r="1080" spans="1:10" ht="15" x14ac:dyDescent="0.2">
      <c r="A1080" s="72"/>
      <c r="B1080" s="72"/>
      <c r="C1080" s="72"/>
      <c r="D1080" s="72"/>
      <c r="E1080" s="72"/>
      <c r="F1080" s="72"/>
      <c r="G1080" s="72"/>
      <c r="H1080" s="72"/>
      <c r="I1080" s="72"/>
      <c r="J1080" s="72"/>
    </row>
    <row r="1081" spans="1:10" ht="15" x14ac:dyDescent="0.2">
      <c r="A1081" s="72"/>
      <c r="B1081" s="72"/>
      <c r="C1081" s="72"/>
      <c r="D1081" s="72"/>
      <c r="E1081" s="72"/>
      <c r="F1081" s="72"/>
      <c r="G1081" s="72"/>
      <c r="H1081" s="72"/>
      <c r="I1081" s="72"/>
      <c r="J1081" s="72"/>
    </row>
    <row r="1082" spans="1:10" ht="15" x14ac:dyDescent="0.2">
      <c r="A1082" s="72"/>
      <c r="B1082" s="72"/>
      <c r="C1082" s="72"/>
      <c r="D1082" s="72"/>
      <c r="E1082" s="72"/>
      <c r="F1082" s="72"/>
      <c r="G1082" s="72"/>
      <c r="H1082" s="72"/>
      <c r="I1082" s="72"/>
      <c r="J1082" s="72"/>
    </row>
    <row r="1083" spans="1:10" ht="15" x14ac:dyDescent="0.2">
      <c r="A1083" s="72"/>
      <c r="B1083" s="72"/>
      <c r="C1083" s="72"/>
      <c r="D1083" s="72"/>
      <c r="E1083" s="72"/>
      <c r="F1083" s="72"/>
      <c r="G1083" s="72"/>
      <c r="H1083" s="72"/>
      <c r="I1083" s="72"/>
      <c r="J1083" s="72"/>
    </row>
    <row r="1084" spans="1:10" ht="15" x14ac:dyDescent="0.2">
      <c r="A1084" s="72"/>
      <c r="B1084" s="72"/>
      <c r="C1084" s="72"/>
      <c r="D1084" s="72"/>
      <c r="E1084" s="72"/>
      <c r="F1084" s="72"/>
      <c r="G1084" s="72"/>
      <c r="H1084" s="72"/>
      <c r="I1084" s="72"/>
      <c r="J1084" s="72"/>
    </row>
    <row r="1085" spans="1:10" ht="15" x14ac:dyDescent="0.2">
      <c r="A1085" s="72"/>
      <c r="B1085" s="72"/>
      <c r="C1085" s="72"/>
      <c r="D1085" s="72"/>
      <c r="E1085" s="72"/>
      <c r="F1085" s="72"/>
      <c r="G1085" s="72"/>
      <c r="H1085" s="72"/>
      <c r="I1085" s="72"/>
      <c r="J1085" s="72"/>
    </row>
    <row r="1086" spans="1:10" ht="15" x14ac:dyDescent="0.2">
      <c r="A1086" s="72"/>
      <c r="B1086" s="72"/>
      <c r="C1086" s="72"/>
      <c r="D1086" s="72"/>
      <c r="E1086" s="72"/>
      <c r="F1086" s="72"/>
      <c r="G1086" s="72"/>
      <c r="H1086" s="72"/>
      <c r="I1086" s="72"/>
      <c r="J1086" s="72"/>
    </row>
    <row r="1087" spans="1:10" ht="15" x14ac:dyDescent="0.2">
      <c r="A1087" s="72"/>
      <c r="B1087" s="72"/>
      <c r="C1087" s="72"/>
      <c r="D1087" s="72"/>
      <c r="E1087" s="72"/>
      <c r="F1087" s="72"/>
      <c r="G1087" s="72"/>
      <c r="H1087" s="72"/>
      <c r="I1087" s="72"/>
      <c r="J1087" s="72"/>
    </row>
    <row r="1088" spans="1:10" ht="15" x14ac:dyDescent="0.2">
      <c r="A1088" s="72"/>
      <c r="B1088" s="72"/>
      <c r="C1088" s="72"/>
      <c r="D1088" s="72"/>
      <c r="E1088" s="72"/>
      <c r="F1088" s="72"/>
      <c r="G1088" s="72"/>
      <c r="H1088" s="72"/>
      <c r="I1088" s="72"/>
      <c r="J1088" s="72"/>
    </row>
    <row r="1089" spans="1:10" ht="15" x14ac:dyDescent="0.2">
      <c r="A1089" s="72"/>
      <c r="B1089" s="72"/>
      <c r="C1089" s="72"/>
      <c r="D1089" s="72"/>
      <c r="E1089" s="72"/>
      <c r="F1089" s="72"/>
      <c r="G1089" s="72"/>
      <c r="H1089" s="72"/>
      <c r="I1089" s="72"/>
      <c r="J1089" s="72"/>
    </row>
    <row r="1090" spans="1:10" ht="15" x14ac:dyDescent="0.2">
      <c r="A1090" s="72"/>
      <c r="B1090" s="72"/>
      <c r="C1090" s="72"/>
      <c r="D1090" s="72"/>
      <c r="E1090" s="72"/>
      <c r="F1090" s="72"/>
      <c r="G1090" s="72"/>
      <c r="H1090" s="72"/>
      <c r="I1090" s="72"/>
      <c r="J1090" s="72"/>
    </row>
    <row r="1091" spans="1:10" ht="15" x14ac:dyDescent="0.2">
      <c r="A1091" s="72"/>
      <c r="B1091" s="72"/>
      <c r="C1091" s="72"/>
      <c r="D1091" s="72"/>
      <c r="E1091" s="72"/>
      <c r="F1091" s="72"/>
      <c r="G1091" s="72"/>
      <c r="H1091" s="72"/>
      <c r="I1091" s="72"/>
      <c r="J1091" s="72"/>
    </row>
    <row r="1092" spans="1:10" ht="15" x14ac:dyDescent="0.2">
      <c r="A1092" s="72"/>
      <c r="B1092" s="72"/>
      <c r="C1092" s="72"/>
      <c r="D1092" s="72"/>
      <c r="E1092" s="72"/>
      <c r="F1092" s="72"/>
      <c r="G1092" s="72"/>
      <c r="H1092" s="72"/>
      <c r="I1092" s="72"/>
      <c r="J1092" s="72"/>
    </row>
    <row r="1093" spans="1:10" ht="15" x14ac:dyDescent="0.2">
      <c r="A1093" s="72"/>
      <c r="B1093" s="72"/>
      <c r="C1093" s="72"/>
      <c r="D1093" s="72"/>
      <c r="E1093" s="72"/>
      <c r="F1093" s="72"/>
      <c r="G1093" s="72"/>
      <c r="H1093" s="72"/>
      <c r="I1093" s="72"/>
      <c r="J1093" s="72"/>
    </row>
    <row r="1094" spans="1:10" ht="15" x14ac:dyDescent="0.2">
      <c r="A1094" s="72"/>
      <c r="B1094" s="72"/>
      <c r="C1094" s="72"/>
      <c r="D1094" s="72"/>
      <c r="E1094" s="72"/>
      <c r="F1094" s="72"/>
      <c r="G1094" s="72"/>
      <c r="H1094" s="72"/>
      <c r="I1094" s="72"/>
      <c r="J1094" s="72"/>
    </row>
    <row r="1095" spans="1:10" ht="15" x14ac:dyDescent="0.2">
      <c r="A1095" s="72"/>
      <c r="B1095" s="72"/>
      <c r="C1095" s="72"/>
      <c r="D1095" s="72"/>
      <c r="E1095" s="72"/>
      <c r="F1095" s="72"/>
      <c r="G1095" s="72"/>
      <c r="H1095" s="72"/>
      <c r="I1095" s="72"/>
      <c r="J1095" s="72"/>
    </row>
    <row r="1096" spans="1:10" ht="15" x14ac:dyDescent="0.2">
      <c r="A1096" s="72"/>
      <c r="B1096" s="72"/>
      <c r="C1096" s="72"/>
      <c r="D1096" s="72"/>
      <c r="E1096" s="72"/>
      <c r="F1096" s="72"/>
      <c r="G1096" s="72"/>
      <c r="H1096" s="72"/>
      <c r="I1096" s="72"/>
      <c r="J1096" s="72"/>
    </row>
    <row r="1097" spans="1:10" ht="15" x14ac:dyDescent="0.2">
      <c r="A1097" s="72"/>
      <c r="B1097" s="72"/>
      <c r="C1097" s="72"/>
      <c r="D1097" s="72"/>
      <c r="E1097" s="72"/>
      <c r="F1097" s="72"/>
      <c r="G1097" s="72"/>
      <c r="H1097" s="72"/>
      <c r="I1097" s="72"/>
      <c r="J1097" s="72"/>
    </row>
    <row r="1098" spans="1:10" ht="15" x14ac:dyDescent="0.2">
      <c r="A1098" s="72"/>
      <c r="B1098" s="72"/>
      <c r="C1098" s="72"/>
      <c r="D1098" s="72"/>
      <c r="E1098" s="72"/>
      <c r="F1098" s="72"/>
      <c r="G1098" s="72"/>
      <c r="H1098" s="72"/>
      <c r="I1098" s="72"/>
      <c r="J1098" s="72"/>
    </row>
    <row r="1099" spans="1:10" ht="15" x14ac:dyDescent="0.2">
      <c r="A1099" s="72"/>
      <c r="B1099" s="72"/>
      <c r="C1099" s="72"/>
      <c r="D1099" s="72"/>
      <c r="E1099" s="72"/>
      <c r="F1099" s="72"/>
      <c r="G1099" s="72"/>
      <c r="H1099" s="72"/>
      <c r="I1099" s="72"/>
      <c r="J1099" s="72"/>
    </row>
    <row r="1100" spans="1:10" ht="15" x14ac:dyDescent="0.2">
      <c r="A1100" s="72"/>
      <c r="B1100" s="72"/>
      <c r="C1100" s="72"/>
      <c r="D1100" s="72"/>
      <c r="E1100" s="72"/>
      <c r="F1100" s="72"/>
      <c r="G1100" s="72"/>
      <c r="H1100" s="72"/>
      <c r="I1100" s="72"/>
      <c r="J1100" s="72"/>
    </row>
    <row r="1101" spans="1:10" ht="15" x14ac:dyDescent="0.2">
      <c r="A1101" s="72"/>
      <c r="B1101" s="72"/>
      <c r="C1101" s="72"/>
      <c r="D1101" s="72"/>
      <c r="E1101" s="72"/>
      <c r="F1101" s="72"/>
      <c r="G1101" s="72"/>
      <c r="H1101" s="72"/>
      <c r="I1101" s="72"/>
      <c r="J1101" s="72"/>
    </row>
    <row r="1102" spans="1:10" ht="15" x14ac:dyDescent="0.2">
      <c r="A1102" s="72"/>
      <c r="B1102" s="72"/>
      <c r="C1102" s="72"/>
      <c r="D1102" s="72"/>
      <c r="E1102" s="72"/>
      <c r="F1102" s="72"/>
      <c r="G1102" s="72"/>
      <c r="H1102" s="72"/>
      <c r="I1102" s="72"/>
      <c r="J1102" s="72"/>
    </row>
    <row r="1103" spans="1:10" ht="15" x14ac:dyDescent="0.2">
      <c r="A1103" s="72"/>
      <c r="B1103" s="72"/>
      <c r="C1103" s="72"/>
      <c r="D1103" s="72"/>
      <c r="E1103" s="72"/>
      <c r="F1103" s="72"/>
      <c r="G1103" s="72"/>
      <c r="H1103" s="72"/>
      <c r="I1103" s="72"/>
      <c r="J1103" s="72"/>
    </row>
    <row r="1104" spans="1:10" ht="15" x14ac:dyDescent="0.2">
      <c r="A1104" s="72"/>
      <c r="B1104" s="72"/>
      <c r="C1104" s="72"/>
      <c r="D1104" s="72"/>
      <c r="E1104" s="72"/>
      <c r="F1104" s="72"/>
      <c r="G1104" s="72"/>
      <c r="H1104" s="72"/>
      <c r="I1104" s="72"/>
      <c r="J1104" s="72"/>
    </row>
    <row r="1105" spans="1:10" ht="15" x14ac:dyDescent="0.2">
      <c r="A1105" s="72"/>
      <c r="B1105" s="72"/>
      <c r="C1105" s="72"/>
      <c r="D1105" s="72"/>
      <c r="E1105" s="72"/>
      <c r="F1105" s="72"/>
      <c r="G1105" s="72"/>
      <c r="H1105" s="72"/>
      <c r="I1105" s="72"/>
      <c r="J1105" s="72"/>
    </row>
    <row r="1106" spans="1:10" ht="15" x14ac:dyDescent="0.2">
      <c r="A1106" s="72"/>
      <c r="B1106" s="72"/>
      <c r="C1106" s="72"/>
      <c r="D1106" s="72"/>
      <c r="E1106" s="72"/>
      <c r="F1106" s="72"/>
      <c r="G1106" s="72"/>
      <c r="H1106" s="72"/>
      <c r="I1106" s="72"/>
      <c r="J1106" s="72"/>
    </row>
    <row r="1107" spans="1:10" ht="15" x14ac:dyDescent="0.2">
      <c r="A1107" s="72"/>
      <c r="B1107" s="72"/>
      <c r="C1107" s="72"/>
      <c r="D1107" s="72"/>
      <c r="E1107" s="72"/>
      <c r="F1107" s="72"/>
      <c r="G1107" s="72"/>
      <c r="H1107" s="72"/>
      <c r="I1107" s="72"/>
      <c r="J1107" s="72"/>
    </row>
    <row r="1108" spans="1:10" ht="15" x14ac:dyDescent="0.2">
      <c r="A1108" s="72"/>
      <c r="B1108" s="72"/>
      <c r="C1108" s="72"/>
      <c r="D1108" s="72"/>
      <c r="E1108" s="72"/>
      <c r="F1108" s="72"/>
      <c r="G1108" s="72"/>
      <c r="H1108" s="72"/>
      <c r="I1108" s="72"/>
      <c r="J1108" s="72"/>
    </row>
    <row r="1109" spans="1:10" ht="15" x14ac:dyDescent="0.2">
      <c r="A1109" s="72"/>
      <c r="B1109" s="72"/>
      <c r="C1109" s="72"/>
      <c r="D1109" s="72"/>
      <c r="E1109" s="72"/>
      <c r="F1109" s="72"/>
      <c r="G1109" s="72"/>
      <c r="H1109" s="72"/>
      <c r="I1109" s="72"/>
      <c r="J1109" s="72"/>
    </row>
    <row r="1110" spans="1:10" ht="15" x14ac:dyDescent="0.2">
      <c r="A1110" s="72"/>
      <c r="B1110" s="72"/>
      <c r="C1110" s="72"/>
      <c r="D1110" s="72"/>
      <c r="E1110" s="72"/>
      <c r="F1110" s="72"/>
      <c r="G1110" s="72"/>
      <c r="H1110" s="72"/>
      <c r="I1110" s="72"/>
      <c r="J1110" s="72"/>
    </row>
    <row r="1111" spans="1:10" ht="15" x14ac:dyDescent="0.2">
      <c r="A1111" s="72"/>
      <c r="B1111" s="72"/>
      <c r="C1111" s="72"/>
      <c r="D1111" s="72"/>
      <c r="E1111" s="72"/>
      <c r="F1111" s="72"/>
      <c r="G1111" s="72"/>
      <c r="H1111" s="72"/>
      <c r="I1111" s="72"/>
      <c r="J1111" s="72"/>
    </row>
    <row r="1112" spans="1:10" ht="15" x14ac:dyDescent="0.2">
      <c r="A1112" s="72"/>
      <c r="B1112" s="72"/>
      <c r="C1112" s="72"/>
      <c r="D1112" s="72"/>
      <c r="E1112" s="72"/>
      <c r="F1112" s="72"/>
      <c r="G1112" s="72"/>
      <c r="H1112" s="72"/>
      <c r="I1112" s="72"/>
      <c r="J1112" s="72"/>
    </row>
    <row r="1113" spans="1:10" ht="15" x14ac:dyDescent="0.2">
      <c r="A1113" s="72"/>
      <c r="B1113" s="72"/>
      <c r="C1113" s="72"/>
      <c r="D1113" s="72"/>
      <c r="E1113" s="72"/>
      <c r="F1113" s="72"/>
      <c r="G1113" s="72"/>
      <c r="H1113" s="72"/>
      <c r="I1113" s="72"/>
      <c r="J1113" s="72"/>
    </row>
    <row r="1114" spans="1:10" ht="15" x14ac:dyDescent="0.2">
      <c r="A1114" s="72"/>
      <c r="B1114" s="72"/>
      <c r="C1114" s="72"/>
      <c r="D1114" s="72"/>
      <c r="E1114" s="72"/>
      <c r="F1114" s="72"/>
      <c r="G1114" s="72"/>
      <c r="H1114" s="72"/>
      <c r="I1114" s="72"/>
      <c r="J1114" s="72"/>
    </row>
    <row r="1115" spans="1:10" ht="15" x14ac:dyDescent="0.2">
      <c r="A1115" s="72"/>
      <c r="B1115" s="72"/>
      <c r="C1115" s="72"/>
      <c r="D1115" s="72"/>
      <c r="E1115" s="72"/>
      <c r="F1115" s="72"/>
      <c r="G1115" s="72"/>
      <c r="H1115" s="72"/>
      <c r="I1115" s="72"/>
      <c r="J1115" s="72"/>
    </row>
    <row r="1116" spans="1:10" ht="15" x14ac:dyDescent="0.2">
      <c r="A1116" s="72"/>
      <c r="B1116" s="72"/>
      <c r="C1116" s="72"/>
      <c r="D1116" s="72"/>
      <c r="E1116" s="72"/>
      <c r="F1116" s="72"/>
      <c r="G1116" s="72"/>
      <c r="H1116" s="72"/>
      <c r="I1116" s="72"/>
      <c r="J1116" s="72"/>
    </row>
    <row r="1117" spans="1:10" ht="15" x14ac:dyDescent="0.2">
      <c r="A1117" s="72"/>
      <c r="B1117" s="72"/>
      <c r="C1117" s="72"/>
      <c r="D1117" s="72"/>
      <c r="E1117" s="72"/>
      <c r="F1117" s="72"/>
      <c r="G1117" s="72"/>
      <c r="H1117" s="72"/>
      <c r="I1117" s="72"/>
      <c r="J1117" s="72"/>
    </row>
    <row r="1118" spans="1:10" ht="15" x14ac:dyDescent="0.2">
      <c r="A1118" s="72"/>
      <c r="B1118" s="72"/>
      <c r="C1118" s="72"/>
      <c r="D1118" s="72"/>
      <c r="E1118" s="72"/>
      <c r="F1118" s="72"/>
      <c r="G1118" s="72"/>
      <c r="H1118" s="72"/>
      <c r="I1118" s="72"/>
      <c r="J1118" s="72"/>
    </row>
    <row r="1119" spans="1:10" ht="15" x14ac:dyDescent="0.2">
      <c r="A1119" s="72"/>
      <c r="B1119" s="72"/>
      <c r="C1119" s="72"/>
      <c r="D1119" s="72"/>
      <c r="E1119" s="72"/>
      <c r="F1119" s="72"/>
      <c r="G1119" s="72"/>
      <c r="H1119" s="72"/>
      <c r="I1119" s="72"/>
      <c r="J1119" s="72"/>
    </row>
    <row r="1120" spans="1:10" ht="15" x14ac:dyDescent="0.2">
      <c r="A1120" s="72"/>
      <c r="B1120" s="72"/>
      <c r="C1120" s="72"/>
      <c r="D1120" s="72"/>
      <c r="E1120" s="72"/>
      <c r="F1120" s="72"/>
      <c r="G1120" s="72"/>
      <c r="H1120" s="72"/>
      <c r="I1120" s="72"/>
      <c r="J1120" s="72"/>
    </row>
    <row r="1121" spans="1:10" ht="15" x14ac:dyDescent="0.2">
      <c r="A1121" s="72"/>
      <c r="B1121" s="72"/>
      <c r="C1121" s="72"/>
      <c r="D1121" s="72"/>
      <c r="E1121" s="72"/>
      <c r="F1121" s="72"/>
      <c r="G1121" s="72"/>
      <c r="H1121" s="72"/>
      <c r="I1121" s="72"/>
      <c r="J1121" s="72"/>
    </row>
    <row r="1122" spans="1:10" ht="15" x14ac:dyDescent="0.2">
      <c r="A1122" s="72"/>
      <c r="B1122" s="72"/>
      <c r="C1122" s="72"/>
      <c r="D1122" s="72"/>
      <c r="E1122" s="72"/>
      <c r="F1122" s="72"/>
      <c r="G1122" s="72"/>
      <c r="H1122" s="72"/>
      <c r="I1122" s="72"/>
      <c r="J1122" s="72"/>
    </row>
    <row r="1123" spans="1:10" ht="15" x14ac:dyDescent="0.2">
      <c r="A1123" s="72"/>
      <c r="B1123" s="72"/>
      <c r="C1123" s="72"/>
      <c r="D1123" s="72"/>
      <c r="E1123" s="72"/>
      <c r="F1123" s="72"/>
      <c r="G1123" s="72"/>
      <c r="H1123" s="72"/>
      <c r="I1123" s="72"/>
      <c r="J1123" s="72"/>
    </row>
    <row r="1124" spans="1:10" ht="15" x14ac:dyDescent="0.2">
      <c r="A1124" s="72"/>
      <c r="B1124" s="72"/>
      <c r="C1124" s="72"/>
      <c r="D1124" s="72"/>
      <c r="E1124" s="72"/>
      <c r="F1124" s="72"/>
      <c r="G1124" s="72"/>
      <c r="H1124" s="72"/>
      <c r="I1124" s="72"/>
      <c r="J1124" s="72"/>
    </row>
    <row r="1125" spans="1:10" ht="15" x14ac:dyDescent="0.2">
      <c r="A1125" s="72"/>
      <c r="B1125" s="72"/>
      <c r="C1125" s="72"/>
      <c r="D1125" s="72"/>
      <c r="E1125" s="72"/>
      <c r="F1125" s="72"/>
      <c r="G1125" s="72"/>
      <c r="H1125" s="72"/>
      <c r="I1125" s="72"/>
      <c r="J1125" s="72"/>
    </row>
    <row r="1126" spans="1:10" ht="15" x14ac:dyDescent="0.2">
      <c r="A1126" s="72"/>
      <c r="B1126" s="72"/>
      <c r="C1126" s="72"/>
      <c r="D1126" s="72"/>
      <c r="E1126" s="72"/>
      <c r="F1126" s="72"/>
      <c r="G1126" s="72"/>
      <c r="H1126" s="72"/>
      <c r="I1126" s="72"/>
      <c r="J1126" s="72"/>
    </row>
    <row r="1127" spans="1:10" ht="15" x14ac:dyDescent="0.2">
      <c r="A1127" s="72"/>
      <c r="B1127" s="72"/>
      <c r="C1127" s="72"/>
      <c r="D1127" s="72"/>
      <c r="E1127" s="72"/>
      <c r="F1127" s="72"/>
      <c r="G1127" s="72"/>
      <c r="H1127" s="72"/>
      <c r="I1127" s="72"/>
      <c r="J1127" s="72"/>
    </row>
    <row r="1128" spans="1:10" ht="15" x14ac:dyDescent="0.2">
      <c r="A1128" s="72"/>
      <c r="B1128" s="72"/>
      <c r="C1128" s="72"/>
      <c r="D1128" s="72"/>
      <c r="E1128" s="72"/>
      <c r="F1128" s="72"/>
      <c r="G1128" s="72"/>
      <c r="H1128" s="72"/>
      <c r="I1128" s="72"/>
      <c r="J1128" s="72"/>
    </row>
    <row r="1129" spans="1:10" ht="15" x14ac:dyDescent="0.2">
      <c r="A1129" s="72"/>
      <c r="B1129" s="72"/>
      <c r="C1129" s="72"/>
      <c r="D1129" s="72"/>
      <c r="E1129" s="72"/>
      <c r="F1129" s="72"/>
      <c r="G1129" s="72"/>
      <c r="H1129" s="72"/>
      <c r="I1129" s="72"/>
      <c r="J1129" s="72"/>
    </row>
    <row r="1130" spans="1:10" ht="15" x14ac:dyDescent="0.2">
      <c r="A1130" s="72"/>
      <c r="B1130" s="72"/>
      <c r="C1130" s="72"/>
      <c r="D1130" s="72"/>
      <c r="E1130" s="72"/>
      <c r="F1130" s="72"/>
      <c r="G1130" s="72"/>
      <c r="H1130" s="72"/>
      <c r="I1130" s="72"/>
      <c r="J1130" s="72"/>
    </row>
    <row r="1131" spans="1:10" ht="15" x14ac:dyDescent="0.2">
      <c r="A1131" s="72"/>
      <c r="B1131" s="72"/>
      <c r="C1131" s="72"/>
      <c r="D1131" s="72"/>
      <c r="E1131" s="72"/>
      <c r="F1131" s="72"/>
      <c r="G1131" s="72"/>
      <c r="H1131" s="72"/>
      <c r="I1131" s="72"/>
      <c r="J1131" s="72"/>
    </row>
    <row r="1132" spans="1:10" ht="15" x14ac:dyDescent="0.2">
      <c r="A1132" s="72"/>
      <c r="B1132" s="72"/>
      <c r="C1132" s="72"/>
      <c r="D1132" s="72"/>
      <c r="E1132" s="72"/>
      <c r="F1132" s="72"/>
      <c r="G1132" s="72"/>
      <c r="H1132" s="72"/>
      <c r="I1132" s="72"/>
      <c r="J1132" s="72"/>
    </row>
    <row r="1133" spans="1:10" ht="15" x14ac:dyDescent="0.2">
      <c r="A1133" s="72"/>
      <c r="B1133" s="72"/>
      <c r="C1133" s="72"/>
      <c r="D1133" s="72"/>
      <c r="E1133" s="72"/>
      <c r="F1133" s="72"/>
      <c r="G1133" s="72"/>
      <c r="H1133" s="72"/>
      <c r="I1133" s="72"/>
      <c r="J1133" s="72"/>
    </row>
    <row r="1134" spans="1:10" ht="15" x14ac:dyDescent="0.2">
      <c r="A1134" s="72"/>
      <c r="B1134" s="72"/>
      <c r="C1134" s="72"/>
      <c r="D1134" s="72"/>
      <c r="E1134" s="72"/>
      <c r="F1134" s="72"/>
      <c r="G1134" s="72"/>
      <c r="H1134" s="72"/>
      <c r="I1134" s="72"/>
      <c r="J1134" s="72"/>
    </row>
    <row r="1135" spans="1:10" ht="15" x14ac:dyDescent="0.2">
      <c r="A1135" s="72"/>
      <c r="B1135" s="72"/>
      <c r="C1135" s="72"/>
      <c r="D1135" s="72"/>
      <c r="E1135" s="72"/>
      <c r="F1135" s="72"/>
      <c r="G1135" s="72"/>
      <c r="H1135" s="72"/>
      <c r="I1135" s="72"/>
      <c r="J1135" s="72"/>
    </row>
    <row r="1136" spans="1:10" ht="15" x14ac:dyDescent="0.2">
      <c r="A1136" s="72"/>
      <c r="B1136" s="72"/>
      <c r="C1136" s="72"/>
      <c r="D1136" s="72"/>
      <c r="E1136" s="72"/>
      <c r="F1136" s="72"/>
      <c r="G1136" s="72"/>
      <c r="H1136" s="72"/>
      <c r="I1136" s="72"/>
      <c r="J1136" s="72"/>
    </row>
    <row r="1137" spans="1:10" ht="15" x14ac:dyDescent="0.2">
      <c r="A1137" s="72"/>
      <c r="B1137" s="72"/>
      <c r="C1137" s="72"/>
      <c r="D1137" s="72"/>
      <c r="E1137" s="72"/>
      <c r="F1137" s="72"/>
      <c r="G1137" s="72"/>
      <c r="H1137" s="72"/>
      <c r="I1137" s="72"/>
      <c r="J1137" s="72"/>
    </row>
    <row r="1138" spans="1:10" ht="15" x14ac:dyDescent="0.2">
      <c r="A1138" s="72"/>
      <c r="B1138" s="72"/>
      <c r="C1138" s="72"/>
      <c r="D1138" s="72"/>
      <c r="E1138" s="72"/>
      <c r="F1138" s="72"/>
      <c r="G1138" s="72"/>
      <c r="H1138" s="72"/>
      <c r="I1138" s="72"/>
      <c r="J1138" s="72"/>
    </row>
    <row r="1139" spans="1:10" ht="15" x14ac:dyDescent="0.2">
      <c r="A1139" s="72"/>
      <c r="B1139" s="72"/>
      <c r="C1139" s="72"/>
      <c r="D1139" s="72"/>
      <c r="E1139" s="72"/>
      <c r="F1139" s="72"/>
      <c r="G1139" s="72"/>
      <c r="H1139" s="72"/>
      <c r="I1139" s="72"/>
      <c r="J1139" s="72"/>
    </row>
    <row r="1140" spans="1:10" ht="15" x14ac:dyDescent="0.2">
      <c r="A1140" s="72"/>
      <c r="B1140" s="72"/>
      <c r="C1140" s="72"/>
      <c r="D1140" s="72"/>
      <c r="E1140" s="72"/>
      <c r="F1140" s="72"/>
      <c r="G1140" s="72"/>
      <c r="H1140" s="72"/>
      <c r="I1140" s="72"/>
      <c r="J1140" s="72"/>
    </row>
    <row r="1141" spans="1:10" ht="15" x14ac:dyDescent="0.2">
      <c r="A1141" s="72"/>
      <c r="B1141" s="72"/>
      <c r="C1141" s="72"/>
      <c r="D1141" s="72"/>
      <c r="E1141" s="72"/>
      <c r="F1141" s="72"/>
      <c r="G1141" s="72"/>
      <c r="H1141" s="72"/>
      <c r="I1141" s="72"/>
      <c r="J1141" s="72"/>
    </row>
    <row r="1142" spans="1:10" ht="15" x14ac:dyDescent="0.2">
      <c r="A1142" s="72"/>
      <c r="B1142" s="72"/>
      <c r="C1142" s="72"/>
      <c r="D1142" s="72"/>
      <c r="E1142" s="72"/>
      <c r="F1142" s="72"/>
      <c r="G1142" s="72"/>
      <c r="H1142" s="72"/>
      <c r="I1142" s="72"/>
      <c r="J1142" s="72"/>
    </row>
    <row r="1143" spans="1:10" ht="15" x14ac:dyDescent="0.2">
      <c r="A1143" s="72"/>
      <c r="B1143" s="72"/>
      <c r="C1143" s="72"/>
      <c r="D1143" s="72"/>
      <c r="E1143" s="72"/>
      <c r="F1143" s="72"/>
      <c r="G1143" s="72"/>
      <c r="H1143" s="72"/>
      <c r="I1143" s="72"/>
      <c r="J1143" s="72"/>
    </row>
    <row r="1144" spans="1:10" ht="15" x14ac:dyDescent="0.2">
      <c r="A1144" s="72"/>
      <c r="B1144" s="72"/>
      <c r="C1144" s="72"/>
      <c r="D1144" s="72"/>
      <c r="E1144" s="72"/>
      <c r="F1144" s="72"/>
      <c r="G1144" s="72"/>
      <c r="H1144" s="72"/>
      <c r="I1144" s="72"/>
      <c r="J1144" s="72"/>
    </row>
    <row r="1145" spans="1:10" ht="15" x14ac:dyDescent="0.2">
      <c r="A1145" s="72"/>
      <c r="B1145" s="72"/>
      <c r="C1145" s="72"/>
      <c r="D1145" s="72"/>
      <c r="E1145" s="72"/>
      <c r="F1145" s="72"/>
      <c r="G1145" s="72"/>
      <c r="H1145" s="72"/>
      <c r="I1145" s="72"/>
      <c r="J1145" s="72"/>
    </row>
    <row r="1146" spans="1:10" ht="15" x14ac:dyDescent="0.2">
      <c r="A1146" s="72"/>
      <c r="B1146" s="72"/>
      <c r="C1146" s="72"/>
      <c r="D1146" s="72"/>
      <c r="E1146" s="72"/>
      <c r="F1146" s="72"/>
      <c r="G1146" s="72"/>
      <c r="H1146" s="72"/>
      <c r="I1146" s="72"/>
      <c r="J1146" s="72"/>
    </row>
    <row r="1147" spans="1:10" ht="15" x14ac:dyDescent="0.2">
      <c r="A1147" s="72"/>
      <c r="B1147" s="72"/>
      <c r="C1147" s="72"/>
      <c r="D1147" s="72"/>
      <c r="E1147" s="72"/>
      <c r="F1147" s="72"/>
      <c r="G1147" s="72"/>
      <c r="H1147" s="72"/>
      <c r="I1147" s="72"/>
      <c r="J1147" s="72"/>
    </row>
    <row r="1148" spans="1:10" ht="15" x14ac:dyDescent="0.2">
      <c r="A1148" s="72"/>
      <c r="B1148" s="72"/>
      <c r="C1148" s="72"/>
      <c r="D1148" s="72"/>
      <c r="E1148" s="72"/>
      <c r="F1148" s="72"/>
      <c r="G1148" s="72"/>
      <c r="H1148" s="72"/>
      <c r="I1148" s="72"/>
      <c r="J1148" s="72"/>
    </row>
    <row r="1149" spans="1:10" ht="15" x14ac:dyDescent="0.2">
      <c r="A1149" s="72"/>
      <c r="B1149" s="72"/>
      <c r="C1149" s="72"/>
      <c r="D1149" s="72"/>
      <c r="E1149" s="72"/>
      <c r="F1149" s="72"/>
      <c r="G1149" s="72"/>
      <c r="H1149" s="72"/>
      <c r="I1149" s="72"/>
      <c r="J1149" s="72"/>
    </row>
    <row r="1150" spans="1:10" ht="15" x14ac:dyDescent="0.2">
      <c r="A1150" s="72"/>
      <c r="B1150" s="72"/>
      <c r="C1150" s="72"/>
      <c r="D1150" s="72"/>
      <c r="E1150" s="72"/>
      <c r="F1150" s="72"/>
      <c r="G1150" s="72"/>
      <c r="H1150" s="72"/>
      <c r="I1150" s="72"/>
      <c r="J1150" s="72"/>
    </row>
    <row r="1151" spans="1:10" ht="15" x14ac:dyDescent="0.2">
      <c r="A1151" s="72"/>
      <c r="B1151" s="72"/>
      <c r="C1151" s="72"/>
      <c r="D1151" s="72"/>
      <c r="E1151" s="72"/>
      <c r="F1151" s="72"/>
      <c r="G1151" s="72"/>
      <c r="H1151" s="72"/>
      <c r="I1151" s="72"/>
      <c r="J1151" s="72"/>
    </row>
    <row r="1152" spans="1:10" ht="15" x14ac:dyDescent="0.2">
      <c r="A1152" s="72"/>
      <c r="B1152" s="72"/>
      <c r="C1152" s="72"/>
      <c r="D1152" s="72"/>
      <c r="E1152" s="72"/>
      <c r="F1152" s="72"/>
      <c r="G1152" s="72"/>
      <c r="H1152" s="72"/>
      <c r="I1152" s="72"/>
      <c r="J1152" s="72"/>
    </row>
    <row r="1153" spans="1:10" ht="15" x14ac:dyDescent="0.2">
      <c r="A1153" s="72"/>
      <c r="B1153" s="72"/>
      <c r="C1153" s="72"/>
      <c r="D1153" s="72"/>
      <c r="E1153" s="72"/>
      <c r="F1153" s="72"/>
      <c r="G1153" s="72"/>
      <c r="H1153" s="72"/>
      <c r="I1153" s="72"/>
      <c r="J1153" s="72"/>
    </row>
    <row r="1154" spans="1:10" ht="15" x14ac:dyDescent="0.2">
      <c r="A1154" s="72"/>
      <c r="B1154" s="72"/>
      <c r="C1154" s="72"/>
      <c r="D1154" s="72"/>
      <c r="E1154" s="72"/>
      <c r="F1154" s="72"/>
      <c r="G1154" s="72"/>
      <c r="H1154" s="72"/>
      <c r="I1154" s="72"/>
      <c r="J1154" s="72"/>
    </row>
    <row r="1155" spans="1:10" ht="15" x14ac:dyDescent="0.2">
      <c r="A1155" s="72"/>
      <c r="B1155" s="72"/>
      <c r="C1155" s="72"/>
      <c r="D1155" s="72"/>
      <c r="E1155" s="72"/>
      <c r="F1155" s="72"/>
      <c r="G1155" s="72"/>
      <c r="H1155" s="72"/>
      <c r="I1155" s="72"/>
      <c r="J1155" s="72"/>
    </row>
    <row r="1156" spans="1:10" ht="15" x14ac:dyDescent="0.2">
      <c r="A1156" s="72"/>
      <c r="B1156" s="72"/>
      <c r="C1156" s="72"/>
      <c r="D1156" s="72"/>
      <c r="E1156" s="72"/>
      <c r="F1156" s="72"/>
      <c r="G1156" s="72"/>
      <c r="H1156" s="72"/>
      <c r="I1156" s="72"/>
      <c r="J1156" s="72"/>
    </row>
    <row r="1157" spans="1:10" ht="15" x14ac:dyDescent="0.2">
      <c r="A1157" s="72"/>
      <c r="B1157" s="72"/>
      <c r="C1157" s="72"/>
      <c r="D1157" s="72"/>
      <c r="E1157" s="72"/>
      <c r="F1157" s="72"/>
      <c r="G1157" s="72"/>
      <c r="H1157" s="72"/>
      <c r="I1157" s="72"/>
      <c r="J1157" s="72"/>
    </row>
    <row r="1158" spans="1:10" ht="15" x14ac:dyDescent="0.2">
      <c r="A1158" s="72"/>
      <c r="B1158" s="72"/>
      <c r="C1158" s="72"/>
      <c r="D1158" s="72"/>
      <c r="E1158" s="72"/>
      <c r="F1158" s="72"/>
      <c r="G1158" s="72"/>
      <c r="H1158" s="72"/>
      <c r="I1158" s="72"/>
      <c r="J1158" s="72"/>
    </row>
    <row r="1159" spans="1:10" ht="15" x14ac:dyDescent="0.2">
      <c r="A1159" s="72"/>
      <c r="B1159" s="72"/>
      <c r="C1159" s="72"/>
      <c r="D1159" s="72"/>
      <c r="E1159" s="72"/>
      <c r="F1159" s="72"/>
      <c r="G1159" s="72"/>
      <c r="H1159" s="72"/>
      <c r="I1159" s="72"/>
      <c r="J1159" s="72"/>
    </row>
    <row r="1160" spans="1:10" ht="15" x14ac:dyDescent="0.2">
      <c r="A1160" s="72"/>
      <c r="B1160" s="72"/>
      <c r="C1160" s="72"/>
      <c r="D1160" s="72"/>
      <c r="E1160" s="72"/>
      <c r="F1160" s="72"/>
      <c r="G1160" s="72"/>
      <c r="H1160" s="72"/>
      <c r="I1160" s="72"/>
      <c r="J1160" s="72"/>
    </row>
    <row r="1161" spans="1:10" ht="15" x14ac:dyDescent="0.2">
      <c r="A1161" s="72"/>
      <c r="B1161" s="72"/>
      <c r="C1161" s="72"/>
      <c r="D1161" s="72"/>
      <c r="E1161" s="72"/>
      <c r="F1161" s="72"/>
      <c r="G1161" s="72"/>
      <c r="H1161" s="72"/>
      <c r="I1161" s="72"/>
      <c r="J1161" s="72"/>
    </row>
    <row r="1162" spans="1:10" ht="15" x14ac:dyDescent="0.2">
      <c r="A1162" s="72"/>
      <c r="B1162" s="72"/>
      <c r="C1162" s="72"/>
      <c r="D1162" s="72"/>
      <c r="E1162" s="72"/>
      <c r="F1162" s="72"/>
      <c r="G1162" s="72"/>
      <c r="H1162" s="72"/>
      <c r="I1162" s="72"/>
      <c r="J1162" s="72"/>
    </row>
    <row r="1163" spans="1:10" ht="15" x14ac:dyDescent="0.2">
      <c r="A1163" s="72"/>
      <c r="B1163" s="72"/>
      <c r="C1163" s="72"/>
      <c r="D1163" s="72"/>
      <c r="E1163" s="72"/>
      <c r="F1163" s="72"/>
      <c r="G1163" s="72"/>
      <c r="H1163" s="72"/>
      <c r="I1163" s="72"/>
      <c r="J1163" s="72"/>
    </row>
    <row r="1164" spans="1:10" ht="15" x14ac:dyDescent="0.2">
      <c r="A1164" s="72"/>
      <c r="B1164" s="72"/>
      <c r="C1164" s="72"/>
      <c r="D1164" s="72"/>
      <c r="E1164" s="72"/>
      <c r="F1164" s="72"/>
      <c r="G1164" s="72"/>
      <c r="H1164" s="72"/>
      <c r="I1164" s="72"/>
      <c r="J1164" s="72"/>
    </row>
    <row r="1165" spans="1:10" ht="15" x14ac:dyDescent="0.2">
      <c r="A1165" s="72"/>
      <c r="B1165" s="72"/>
      <c r="C1165" s="72"/>
      <c r="D1165" s="72"/>
      <c r="E1165" s="72"/>
      <c r="F1165" s="72"/>
      <c r="G1165" s="72"/>
      <c r="H1165" s="72"/>
      <c r="I1165" s="72"/>
      <c r="J1165" s="72"/>
    </row>
    <row r="1166" spans="1:10" ht="15" x14ac:dyDescent="0.2">
      <c r="A1166" s="72"/>
      <c r="B1166" s="72"/>
      <c r="C1166" s="72"/>
      <c r="D1166" s="72"/>
      <c r="E1166" s="72"/>
      <c r="F1166" s="72"/>
      <c r="G1166" s="72"/>
      <c r="H1166" s="72"/>
      <c r="I1166" s="72"/>
      <c r="J1166" s="72"/>
    </row>
    <row r="1167" spans="1:10" ht="15" x14ac:dyDescent="0.2">
      <c r="A1167" s="72"/>
      <c r="B1167" s="72"/>
      <c r="C1167" s="72"/>
      <c r="D1167" s="72"/>
      <c r="E1167" s="72"/>
      <c r="F1167" s="72"/>
      <c r="G1167" s="72"/>
      <c r="H1167" s="72"/>
      <c r="I1167" s="72"/>
      <c r="J1167" s="72"/>
    </row>
    <row r="1168" spans="1:10" ht="15" x14ac:dyDescent="0.2">
      <c r="A1168" s="72"/>
      <c r="B1168" s="72"/>
      <c r="C1168" s="72"/>
      <c r="D1168" s="72"/>
      <c r="E1168" s="72"/>
      <c r="F1168" s="72"/>
      <c r="G1168" s="72"/>
      <c r="H1168" s="72"/>
      <c r="I1168" s="72"/>
      <c r="J1168" s="72"/>
    </row>
    <row r="1169" spans="1:10" ht="15" x14ac:dyDescent="0.2">
      <c r="A1169" s="72"/>
      <c r="B1169" s="72"/>
      <c r="C1169" s="72"/>
      <c r="D1169" s="72"/>
      <c r="E1169" s="72"/>
      <c r="F1169" s="72"/>
      <c r="G1169" s="72"/>
      <c r="H1169" s="72"/>
      <c r="I1169" s="72"/>
      <c r="J1169" s="72"/>
    </row>
    <row r="1170" spans="1:10" ht="15" x14ac:dyDescent="0.2">
      <c r="A1170" s="72"/>
      <c r="B1170" s="72"/>
      <c r="C1170" s="72"/>
      <c r="D1170" s="72"/>
      <c r="E1170" s="72"/>
      <c r="F1170" s="72"/>
      <c r="G1170" s="72"/>
      <c r="H1170" s="72"/>
      <c r="I1170" s="72"/>
      <c r="J1170" s="72"/>
    </row>
    <row r="1171" spans="1:10" ht="15" x14ac:dyDescent="0.2">
      <c r="A1171" s="72"/>
      <c r="B1171" s="72"/>
      <c r="C1171" s="72"/>
      <c r="D1171" s="72"/>
      <c r="E1171" s="72"/>
      <c r="F1171" s="72"/>
      <c r="G1171" s="72"/>
      <c r="H1171" s="72"/>
      <c r="I1171" s="72"/>
      <c r="J1171" s="72"/>
    </row>
    <row r="1172" spans="1:10" ht="15" x14ac:dyDescent="0.2">
      <c r="A1172" s="72"/>
      <c r="B1172" s="72"/>
      <c r="C1172" s="72"/>
      <c r="D1172" s="72"/>
      <c r="E1172" s="72"/>
      <c r="F1172" s="72"/>
      <c r="G1172" s="72"/>
      <c r="H1172" s="72"/>
      <c r="I1172" s="72"/>
      <c r="J1172" s="72"/>
    </row>
    <row r="1173" spans="1:10" ht="15" x14ac:dyDescent="0.2">
      <c r="A1173" s="72"/>
      <c r="B1173" s="72"/>
      <c r="C1173" s="72"/>
      <c r="D1173" s="72"/>
      <c r="E1173" s="72"/>
      <c r="F1173" s="72"/>
      <c r="G1173" s="72"/>
      <c r="H1173" s="72"/>
      <c r="I1173" s="72"/>
      <c r="J1173" s="72"/>
    </row>
    <row r="1174" spans="1:10" ht="15" x14ac:dyDescent="0.2">
      <c r="A1174" s="72"/>
      <c r="B1174" s="72"/>
      <c r="C1174" s="72"/>
      <c r="D1174" s="72"/>
      <c r="E1174" s="72"/>
      <c r="F1174" s="72"/>
      <c r="G1174" s="72"/>
      <c r="H1174" s="72"/>
      <c r="I1174" s="72"/>
      <c r="J1174" s="72"/>
    </row>
    <row r="1175" spans="1:10" ht="15" x14ac:dyDescent="0.2">
      <c r="A1175" s="72"/>
      <c r="B1175" s="72"/>
      <c r="C1175" s="72"/>
      <c r="D1175" s="72"/>
      <c r="E1175" s="72"/>
      <c r="F1175" s="72"/>
      <c r="G1175" s="72"/>
      <c r="H1175" s="72"/>
      <c r="I1175" s="72"/>
      <c r="J1175" s="72"/>
    </row>
    <row r="1176" spans="1:10" ht="15" x14ac:dyDescent="0.2">
      <c r="A1176" s="72"/>
      <c r="B1176" s="72"/>
      <c r="C1176" s="72"/>
      <c r="D1176" s="72"/>
      <c r="E1176" s="72"/>
      <c r="F1176" s="72"/>
      <c r="G1176" s="72"/>
      <c r="H1176" s="72"/>
      <c r="I1176" s="72"/>
      <c r="J1176" s="72"/>
    </row>
    <row r="1177" spans="1:10" ht="15" x14ac:dyDescent="0.2">
      <c r="A1177" s="72"/>
      <c r="B1177" s="72"/>
      <c r="C1177" s="72"/>
      <c r="D1177" s="72"/>
      <c r="E1177" s="72"/>
      <c r="F1177" s="72"/>
      <c r="G1177" s="72"/>
      <c r="H1177" s="72"/>
      <c r="I1177" s="72"/>
      <c r="J1177" s="72"/>
    </row>
    <row r="1178" spans="1:10" ht="15" x14ac:dyDescent="0.2">
      <c r="A1178" s="72"/>
      <c r="B1178" s="72"/>
      <c r="C1178" s="72"/>
      <c r="D1178" s="72"/>
      <c r="E1178" s="72"/>
      <c r="F1178" s="72"/>
      <c r="G1178" s="72"/>
      <c r="H1178" s="72"/>
      <c r="I1178" s="72"/>
      <c r="J1178" s="72"/>
    </row>
    <row r="1179" spans="1:10" ht="15" x14ac:dyDescent="0.2">
      <c r="A1179" s="72"/>
      <c r="B1179" s="72"/>
      <c r="C1179" s="72"/>
      <c r="D1179" s="72"/>
      <c r="E1179" s="72"/>
      <c r="F1179" s="72"/>
      <c r="G1179" s="72"/>
      <c r="H1179" s="72"/>
      <c r="I1179" s="72"/>
      <c r="J1179" s="72"/>
    </row>
    <row r="1180" spans="1:10" ht="15" x14ac:dyDescent="0.2">
      <c r="A1180" s="72"/>
      <c r="B1180" s="72"/>
      <c r="C1180" s="72"/>
      <c r="D1180" s="72"/>
      <c r="E1180" s="72"/>
      <c r="F1180" s="72"/>
      <c r="G1180" s="72"/>
      <c r="H1180" s="72"/>
      <c r="I1180" s="72"/>
      <c r="J1180" s="72"/>
    </row>
    <row r="1181" spans="1:10" ht="15" x14ac:dyDescent="0.2">
      <c r="A1181" s="72"/>
      <c r="B1181" s="72"/>
      <c r="C1181" s="72"/>
      <c r="D1181" s="72"/>
      <c r="E1181" s="72"/>
      <c r="F1181" s="72"/>
      <c r="G1181" s="72"/>
      <c r="H1181" s="72"/>
      <c r="I1181" s="72"/>
      <c r="J1181" s="72"/>
    </row>
    <row r="1182" spans="1:10" ht="15" x14ac:dyDescent="0.2">
      <c r="A1182" s="72"/>
      <c r="B1182" s="72"/>
      <c r="C1182" s="72"/>
      <c r="D1182" s="72"/>
      <c r="E1182" s="72"/>
      <c r="F1182" s="72"/>
      <c r="G1182" s="72"/>
      <c r="H1182" s="72"/>
      <c r="I1182" s="72"/>
      <c r="J1182" s="72"/>
    </row>
    <row r="1183" spans="1:10" ht="15" x14ac:dyDescent="0.2">
      <c r="A1183" s="72"/>
      <c r="B1183" s="72"/>
      <c r="C1183" s="72"/>
      <c r="D1183" s="72"/>
      <c r="E1183" s="72"/>
      <c r="F1183" s="72"/>
      <c r="G1183" s="72"/>
      <c r="H1183" s="72"/>
      <c r="I1183" s="72"/>
      <c r="J1183" s="72"/>
    </row>
    <row r="1184" spans="1:10" ht="15" x14ac:dyDescent="0.2">
      <c r="A1184" s="72"/>
      <c r="B1184" s="72"/>
      <c r="C1184" s="72"/>
      <c r="D1184" s="72"/>
      <c r="E1184" s="72"/>
      <c r="F1184" s="72"/>
      <c r="G1184" s="72"/>
      <c r="H1184" s="72"/>
      <c r="I1184" s="72"/>
      <c r="J1184" s="72"/>
    </row>
    <row r="1185" spans="1:10" ht="15" x14ac:dyDescent="0.2">
      <c r="A1185" s="72"/>
      <c r="B1185" s="72"/>
      <c r="C1185" s="72"/>
      <c r="D1185" s="72"/>
      <c r="E1185" s="72"/>
      <c r="F1185" s="72"/>
      <c r="G1185" s="72"/>
      <c r="H1185" s="72"/>
      <c r="I1185" s="72"/>
      <c r="J1185" s="72"/>
    </row>
    <row r="1186" spans="1:10" ht="15" x14ac:dyDescent="0.2">
      <c r="A1186" s="72"/>
      <c r="B1186" s="72"/>
      <c r="C1186" s="72"/>
      <c r="D1186" s="72"/>
      <c r="E1186" s="72"/>
      <c r="F1186" s="72"/>
      <c r="G1186" s="72"/>
      <c r="H1186" s="72"/>
      <c r="I1186" s="72"/>
      <c r="J1186" s="72"/>
    </row>
    <row r="1187" spans="1:10" ht="15" x14ac:dyDescent="0.2">
      <c r="A1187" s="72"/>
      <c r="B1187" s="72"/>
      <c r="C1187" s="72"/>
      <c r="D1187" s="72"/>
      <c r="E1187" s="72"/>
      <c r="F1187" s="72"/>
      <c r="G1187" s="72"/>
      <c r="H1187" s="72"/>
      <c r="I1187" s="72"/>
      <c r="J1187" s="72"/>
    </row>
    <row r="1188" spans="1:10" ht="15" x14ac:dyDescent="0.2">
      <c r="A1188" s="72"/>
      <c r="B1188" s="72"/>
      <c r="C1188" s="72"/>
      <c r="D1188" s="72"/>
      <c r="E1188" s="72"/>
      <c r="F1188" s="72"/>
      <c r="G1188" s="72"/>
      <c r="H1188" s="72"/>
      <c r="I1188" s="72"/>
      <c r="J1188" s="72"/>
    </row>
    <row r="1189" spans="1:10" ht="15" x14ac:dyDescent="0.2">
      <c r="A1189" s="72"/>
      <c r="B1189" s="72"/>
      <c r="C1189" s="72"/>
      <c r="D1189" s="72"/>
      <c r="E1189" s="72"/>
      <c r="F1189" s="72"/>
      <c r="G1189" s="72"/>
      <c r="H1189" s="72"/>
      <c r="I1189" s="72"/>
      <c r="J1189" s="72"/>
    </row>
    <row r="1190" spans="1:10" ht="15" x14ac:dyDescent="0.2">
      <c r="A1190" s="72"/>
      <c r="B1190" s="72"/>
      <c r="C1190" s="72"/>
      <c r="D1190" s="72"/>
      <c r="E1190" s="72"/>
      <c r="F1190" s="72"/>
      <c r="G1190" s="72"/>
      <c r="H1190" s="72"/>
      <c r="I1190" s="72"/>
      <c r="J1190" s="72"/>
    </row>
    <row r="1191" spans="1:10" ht="15" x14ac:dyDescent="0.2">
      <c r="A1191" s="72"/>
      <c r="B1191" s="72"/>
      <c r="C1191" s="72"/>
      <c r="D1191" s="72"/>
      <c r="E1191" s="72"/>
      <c r="F1191" s="72"/>
      <c r="G1191" s="72"/>
      <c r="H1191" s="72"/>
      <c r="I1191" s="72"/>
      <c r="J1191" s="72"/>
    </row>
    <row r="1192" spans="1:10" ht="15" x14ac:dyDescent="0.2">
      <c r="A1192" s="72"/>
      <c r="B1192" s="72"/>
      <c r="C1192" s="72"/>
      <c r="D1192" s="72"/>
      <c r="E1192" s="72"/>
      <c r="F1192" s="72"/>
      <c r="G1192" s="72"/>
      <c r="H1192" s="72"/>
      <c r="I1192" s="72"/>
      <c r="J1192" s="72"/>
    </row>
    <row r="1193" spans="1:10" ht="15" x14ac:dyDescent="0.2">
      <c r="A1193" s="72"/>
      <c r="B1193" s="72"/>
      <c r="C1193" s="72"/>
      <c r="D1193" s="72"/>
      <c r="E1193" s="72"/>
      <c r="F1193" s="72"/>
      <c r="G1193" s="72"/>
      <c r="H1193" s="72"/>
      <c r="I1193" s="72"/>
      <c r="J1193" s="72"/>
    </row>
    <row r="1194" spans="1:10" ht="15" x14ac:dyDescent="0.2">
      <c r="A1194" s="72"/>
      <c r="B1194" s="72"/>
      <c r="C1194" s="72"/>
      <c r="D1194" s="72"/>
      <c r="E1194" s="72"/>
      <c r="F1194" s="72"/>
      <c r="G1194" s="72"/>
      <c r="H1194" s="72"/>
      <c r="I1194" s="72"/>
      <c r="J1194" s="72"/>
    </row>
    <row r="1195" spans="1:10" ht="15" x14ac:dyDescent="0.2">
      <c r="A1195" s="72"/>
      <c r="B1195" s="72"/>
      <c r="C1195" s="72"/>
      <c r="D1195" s="72"/>
      <c r="E1195" s="72"/>
      <c r="F1195" s="72"/>
      <c r="G1195" s="72"/>
      <c r="H1195" s="72"/>
      <c r="I1195" s="72"/>
      <c r="J1195" s="72"/>
    </row>
    <row r="1196" spans="1:10" ht="15" x14ac:dyDescent="0.2">
      <c r="A1196" s="72"/>
      <c r="B1196" s="72"/>
      <c r="C1196" s="72"/>
      <c r="D1196" s="72"/>
      <c r="E1196" s="72"/>
      <c r="F1196" s="72"/>
      <c r="G1196" s="72"/>
      <c r="H1196" s="72"/>
      <c r="I1196" s="72"/>
      <c r="J1196" s="72"/>
    </row>
    <row r="1197" spans="1:10" ht="15" x14ac:dyDescent="0.2">
      <c r="A1197" s="72"/>
      <c r="B1197" s="72"/>
      <c r="C1197" s="72"/>
      <c r="D1197" s="72"/>
      <c r="E1197" s="72"/>
      <c r="F1197" s="72"/>
      <c r="G1197" s="72"/>
      <c r="H1197" s="72"/>
      <c r="I1197" s="72"/>
      <c r="J1197" s="72"/>
    </row>
    <row r="1198" spans="1:10" ht="15" x14ac:dyDescent="0.2">
      <c r="A1198" s="72"/>
      <c r="B1198" s="72"/>
      <c r="C1198" s="72"/>
      <c r="D1198" s="72"/>
      <c r="E1198" s="72"/>
      <c r="F1198" s="72"/>
      <c r="G1198" s="72"/>
      <c r="H1198" s="72"/>
      <c r="I1198" s="72"/>
      <c r="J1198" s="72"/>
    </row>
    <row r="1199" spans="1:10" ht="15" x14ac:dyDescent="0.2">
      <c r="A1199" s="72"/>
      <c r="B1199" s="72"/>
      <c r="C1199" s="72"/>
      <c r="D1199" s="72"/>
      <c r="E1199" s="72"/>
      <c r="F1199" s="72"/>
      <c r="G1199" s="72"/>
      <c r="H1199" s="72"/>
      <c r="I1199" s="72"/>
      <c r="J1199" s="72"/>
    </row>
    <row r="1200" spans="1:10" ht="15" x14ac:dyDescent="0.2">
      <c r="A1200" s="72"/>
      <c r="B1200" s="72"/>
      <c r="C1200" s="72"/>
      <c r="D1200" s="72"/>
      <c r="E1200" s="72"/>
      <c r="F1200" s="72"/>
      <c r="G1200" s="72"/>
      <c r="H1200" s="72"/>
      <c r="I1200" s="72"/>
      <c r="J1200" s="72"/>
    </row>
    <row r="1201" spans="1:10" ht="15" x14ac:dyDescent="0.2">
      <c r="A1201" s="72"/>
      <c r="B1201" s="72"/>
      <c r="C1201" s="72"/>
      <c r="D1201" s="72"/>
      <c r="E1201" s="72"/>
      <c r="F1201" s="72"/>
      <c r="G1201" s="72"/>
      <c r="H1201" s="72"/>
      <c r="I1201" s="72"/>
      <c r="J1201" s="72"/>
    </row>
    <row r="1202" spans="1:10" ht="15" x14ac:dyDescent="0.2">
      <c r="A1202" s="72"/>
      <c r="B1202" s="72"/>
      <c r="C1202" s="72"/>
      <c r="D1202" s="72"/>
      <c r="E1202" s="72"/>
      <c r="F1202" s="72"/>
      <c r="G1202" s="72"/>
      <c r="H1202" s="72"/>
      <c r="I1202" s="72"/>
      <c r="J1202" s="72"/>
    </row>
    <row r="1203" spans="1:10" ht="15" x14ac:dyDescent="0.2">
      <c r="A1203" s="72"/>
      <c r="B1203" s="72"/>
      <c r="C1203" s="72"/>
      <c r="D1203" s="72"/>
      <c r="E1203" s="72"/>
      <c r="F1203" s="72"/>
      <c r="G1203" s="72"/>
      <c r="H1203" s="72"/>
      <c r="I1203" s="72"/>
      <c r="J1203" s="72"/>
    </row>
    <row r="1204" spans="1:10" ht="15" x14ac:dyDescent="0.2">
      <c r="A1204" s="72"/>
      <c r="B1204" s="72"/>
      <c r="C1204" s="72"/>
      <c r="D1204" s="72"/>
      <c r="E1204" s="72"/>
      <c r="F1204" s="72"/>
      <c r="G1204" s="72"/>
      <c r="H1204" s="72"/>
      <c r="I1204" s="72"/>
      <c r="J1204" s="72"/>
    </row>
    <row r="1205" spans="1:10" ht="15" x14ac:dyDescent="0.2">
      <c r="A1205" s="72"/>
      <c r="B1205" s="72"/>
      <c r="C1205" s="72"/>
      <c r="D1205" s="72"/>
      <c r="E1205" s="72"/>
      <c r="F1205" s="72"/>
      <c r="G1205" s="72"/>
      <c r="H1205" s="72"/>
      <c r="I1205" s="72"/>
      <c r="J1205" s="72"/>
    </row>
    <row r="1206" spans="1:10" ht="15" x14ac:dyDescent="0.2">
      <c r="A1206" s="72"/>
      <c r="B1206" s="72"/>
      <c r="C1206" s="72"/>
      <c r="D1206" s="72"/>
      <c r="E1206" s="72"/>
      <c r="F1206" s="72"/>
      <c r="G1206" s="72"/>
      <c r="H1206" s="72"/>
      <c r="I1206" s="72"/>
      <c r="J1206" s="72"/>
    </row>
    <row r="1207" spans="1:10" ht="15" x14ac:dyDescent="0.2">
      <c r="A1207" s="72"/>
      <c r="B1207" s="72"/>
      <c r="C1207" s="72"/>
      <c r="D1207" s="72"/>
      <c r="E1207" s="72"/>
      <c r="F1207" s="72"/>
      <c r="G1207" s="72"/>
      <c r="H1207" s="72"/>
      <c r="I1207" s="72"/>
      <c r="J1207" s="72"/>
    </row>
    <row r="1208" spans="1:10" ht="15" x14ac:dyDescent="0.2">
      <c r="A1208" s="72"/>
      <c r="B1208" s="72"/>
      <c r="C1208" s="72"/>
      <c r="D1208" s="72"/>
      <c r="E1208" s="72"/>
      <c r="F1208" s="72"/>
      <c r="G1208" s="72"/>
      <c r="H1208" s="72"/>
      <c r="I1208" s="72"/>
      <c r="J1208" s="72"/>
    </row>
    <row r="1209" spans="1:10" ht="15" x14ac:dyDescent="0.2">
      <c r="A1209" s="72"/>
      <c r="B1209" s="72"/>
      <c r="C1209" s="72"/>
      <c r="D1209" s="72"/>
      <c r="E1209" s="72"/>
      <c r="F1209" s="72"/>
      <c r="G1209" s="72"/>
      <c r="H1209" s="72"/>
      <c r="I1209" s="72"/>
      <c r="J1209" s="72"/>
    </row>
    <row r="1210" spans="1:10" ht="15" x14ac:dyDescent="0.2">
      <c r="A1210" s="72"/>
      <c r="B1210" s="72"/>
      <c r="C1210" s="72"/>
      <c r="D1210" s="72"/>
      <c r="E1210" s="72"/>
      <c r="F1210" s="72"/>
      <c r="G1210" s="72"/>
      <c r="H1210" s="72"/>
      <c r="I1210" s="72"/>
      <c r="J1210" s="72"/>
    </row>
    <row r="1211" spans="1:10" ht="15" x14ac:dyDescent="0.2">
      <c r="A1211" s="72"/>
      <c r="B1211" s="72"/>
      <c r="C1211" s="72"/>
      <c r="D1211" s="72"/>
      <c r="E1211" s="72"/>
      <c r="F1211" s="72"/>
      <c r="G1211" s="72"/>
      <c r="H1211" s="72"/>
      <c r="I1211" s="72"/>
      <c r="J1211" s="72"/>
    </row>
    <row r="1212" spans="1:10" ht="15" x14ac:dyDescent="0.2">
      <c r="A1212" s="72"/>
      <c r="B1212" s="72"/>
      <c r="C1212" s="72"/>
      <c r="D1212" s="72"/>
      <c r="E1212" s="72"/>
      <c r="F1212" s="72"/>
      <c r="G1212" s="72"/>
      <c r="H1212" s="72"/>
      <c r="I1212" s="72"/>
      <c r="J1212" s="72"/>
    </row>
    <row r="1213" spans="1:10" ht="15" x14ac:dyDescent="0.2">
      <c r="A1213" s="72"/>
      <c r="B1213" s="72"/>
      <c r="C1213" s="72"/>
      <c r="D1213" s="72"/>
      <c r="E1213" s="72"/>
      <c r="F1213" s="72"/>
      <c r="G1213" s="72"/>
      <c r="H1213" s="72"/>
      <c r="I1213" s="72"/>
      <c r="J1213" s="72"/>
    </row>
    <row r="1214" spans="1:10" ht="15" x14ac:dyDescent="0.2">
      <c r="A1214" s="72"/>
      <c r="B1214" s="72"/>
      <c r="C1214" s="72"/>
      <c r="D1214" s="72"/>
      <c r="E1214" s="72"/>
      <c r="F1214" s="72"/>
      <c r="G1214" s="72"/>
      <c r="H1214" s="72"/>
      <c r="I1214" s="72"/>
      <c r="J1214" s="72"/>
    </row>
    <row r="1215" spans="1:10" ht="15" x14ac:dyDescent="0.2">
      <c r="A1215" s="72"/>
      <c r="B1215" s="72"/>
      <c r="C1215" s="72"/>
      <c r="D1215" s="72"/>
      <c r="E1215" s="72"/>
      <c r="F1215" s="72"/>
      <c r="G1215" s="72"/>
      <c r="H1215" s="72"/>
      <c r="I1215" s="72"/>
      <c r="J1215" s="72"/>
    </row>
    <row r="1216" spans="1:10" ht="15" x14ac:dyDescent="0.2">
      <c r="A1216" s="72"/>
      <c r="B1216" s="72"/>
      <c r="C1216" s="72"/>
      <c r="D1216" s="72"/>
      <c r="E1216" s="72"/>
      <c r="F1216" s="72"/>
      <c r="G1216" s="72"/>
      <c r="H1216" s="72"/>
      <c r="I1216" s="72"/>
      <c r="J1216" s="72"/>
    </row>
    <row r="1217" spans="1:10" ht="15" x14ac:dyDescent="0.2">
      <c r="A1217" s="72"/>
      <c r="B1217" s="72"/>
      <c r="C1217" s="72"/>
      <c r="D1217" s="72"/>
      <c r="E1217" s="72"/>
      <c r="F1217" s="72"/>
      <c r="G1217" s="72"/>
      <c r="H1217" s="72"/>
      <c r="I1217" s="72"/>
      <c r="J1217" s="72"/>
    </row>
    <row r="1218" spans="1:10" ht="15" x14ac:dyDescent="0.2">
      <c r="A1218" s="72"/>
      <c r="B1218" s="72"/>
      <c r="C1218" s="72"/>
      <c r="D1218" s="72"/>
      <c r="E1218" s="72"/>
      <c r="F1218" s="72"/>
      <c r="G1218" s="72"/>
      <c r="H1218" s="72"/>
      <c r="I1218" s="72"/>
      <c r="J1218" s="72"/>
    </row>
    <row r="1219" spans="1:10" ht="15" x14ac:dyDescent="0.2">
      <c r="A1219" s="72"/>
      <c r="B1219" s="72"/>
      <c r="C1219" s="72"/>
      <c r="D1219" s="72"/>
      <c r="E1219" s="72"/>
      <c r="F1219" s="72"/>
      <c r="G1219" s="72"/>
      <c r="H1219" s="72"/>
      <c r="I1219" s="72"/>
      <c r="J1219" s="72"/>
    </row>
    <row r="1220" spans="1:10" ht="15" x14ac:dyDescent="0.2">
      <c r="A1220" s="72"/>
      <c r="B1220" s="72"/>
      <c r="C1220" s="72"/>
      <c r="D1220" s="72"/>
      <c r="E1220" s="72"/>
      <c r="F1220" s="72"/>
      <c r="G1220" s="72"/>
      <c r="H1220" s="72"/>
      <c r="I1220" s="72"/>
      <c r="J1220" s="72"/>
    </row>
    <row r="1221" spans="1:10" ht="15" x14ac:dyDescent="0.2">
      <c r="A1221" s="72"/>
      <c r="B1221" s="72"/>
      <c r="C1221" s="72"/>
      <c r="D1221" s="72"/>
      <c r="E1221" s="72"/>
      <c r="F1221" s="72"/>
      <c r="G1221" s="72"/>
      <c r="H1221" s="72"/>
      <c r="I1221" s="72"/>
      <c r="J1221" s="72"/>
    </row>
    <row r="1222" spans="1:10" ht="15" x14ac:dyDescent="0.2">
      <c r="A1222" s="72"/>
      <c r="B1222" s="72"/>
      <c r="C1222" s="72"/>
      <c r="D1222" s="72"/>
      <c r="E1222" s="72"/>
      <c r="F1222" s="72"/>
      <c r="G1222" s="72"/>
      <c r="H1222" s="72"/>
      <c r="I1222" s="72"/>
      <c r="J1222" s="72"/>
    </row>
    <row r="1223" spans="1:10" ht="15" x14ac:dyDescent="0.2">
      <c r="A1223" s="72"/>
      <c r="B1223" s="72"/>
      <c r="C1223" s="72"/>
      <c r="D1223" s="72"/>
      <c r="E1223" s="72"/>
      <c r="F1223" s="72"/>
      <c r="G1223" s="72"/>
      <c r="H1223" s="72"/>
      <c r="I1223" s="72"/>
      <c r="J1223" s="72"/>
    </row>
    <row r="1224" spans="1:10" ht="15" x14ac:dyDescent="0.2">
      <c r="A1224" s="72"/>
      <c r="B1224" s="72"/>
      <c r="C1224" s="72"/>
      <c r="D1224" s="72"/>
      <c r="E1224" s="72"/>
      <c r="F1224" s="72"/>
      <c r="G1224" s="72"/>
      <c r="H1224" s="72"/>
      <c r="I1224" s="72"/>
      <c r="J1224" s="72"/>
    </row>
    <row r="1225" spans="1:10" ht="15" x14ac:dyDescent="0.2">
      <c r="A1225" s="72"/>
      <c r="B1225" s="72"/>
      <c r="C1225" s="72"/>
      <c r="D1225" s="72"/>
      <c r="E1225" s="72"/>
      <c r="F1225" s="72"/>
      <c r="G1225" s="72"/>
      <c r="H1225" s="72"/>
      <c r="I1225" s="72"/>
      <c r="J1225" s="72"/>
    </row>
    <row r="1226" spans="1:10" ht="15" x14ac:dyDescent="0.2">
      <c r="A1226" s="72"/>
      <c r="B1226" s="72"/>
      <c r="C1226" s="72"/>
      <c r="D1226" s="72"/>
      <c r="E1226" s="72"/>
      <c r="F1226" s="72"/>
      <c r="G1226" s="72"/>
      <c r="H1226" s="72"/>
      <c r="I1226" s="72"/>
      <c r="J1226" s="72"/>
    </row>
    <row r="1227" spans="1:10" ht="15" x14ac:dyDescent="0.2">
      <c r="A1227" s="72"/>
      <c r="B1227" s="72"/>
      <c r="C1227" s="72"/>
      <c r="D1227" s="72"/>
      <c r="E1227" s="72"/>
      <c r="F1227" s="72"/>
      <c r="G1227" s="72"/>
      <c r="H1227" s="72"/>
      <c r="I1227" s="72"/>
      <c r="J1227" s="72"/>
    </row>
    <row r="1228" spans="1:10" ht="15" x14ac:dyDescent="0.2">
      <c r="A1228" s="72"/>
      <c r="B1228" s="72"/>
      <c r="C1228" s="72"/>
      <c r="D1228" s="72"/>
      <c r="E1228" s="72"/>
      <c r="F1228" s="72"/>
      <c r="G1228" s="72"/>
      <c r="H1228" s="72"/>
      <c r="I1228" s="72"/>
      <c r="J1228" s="72"/>
    </row>
    <row r="1229" spans="1:10" ht="15" x14ac:dyDescent="0.2">
      <c r="A1229" s="72"/>
      <c r="B1229" s="72"/>
      <c r="C1229" s="72"/>
      <c r="D1229" s="72"/>
      <c r="E1229" s="72"/>
      <c r="F1229" s="72"/>
      <c r="G1229" s="72"/>
      <c r="H1229" s="72"/>
      <c r="I1229" s="72"/>
      <c r="J1229" s="72"/>
    </row>
    <row r="1230" spans="1:10" ht="15" x14ac:dyDescent="0.2">
      <c r="A1230" s="72"/>
      <c r="B1230" s="72"/>
      <c r="C1230" s="72"/>
      <c r="D1230" s="72"/>
      <c r="E1230" s="72"/>
      <c r="F1230" s="72"/>
      <c r="G1230" s="72"/>
      <c r="H1230" s="72"/>
      <c r="I1230" s="72"/>
      <c r="J1230" s="72"/>
    </row>
    <row r="1231" spans="1:10" ht="15" x14ac:dyDescent="0.2">
      <c r="A1231" s="72"/>
      <c r="B1231" s="72"/>
      <c r="C1231" s="72"/>
      <c r="D1231" s="72"/>
      <c r="E1231" s="72"/>
      <c r="F1231" s="72"/>
      <c r="G1231" s="72"/>
      <c r="H1231" s="72"/>
      <c r="I1231" s="72"/>
      <c r="J1231" s="72"/>
    </row>
    <row r="1232" spans="1:10" ht="15" x14ac:dyDescent="0.2">
      <c r="A1232" s="72"/>
      <c r="B1232" s="72"/>
      <c r="C1232" s="72"/>
      <c r="D1232" s="72"/>
      <c r="E1232" s="72"/>
      <c r="F1232" s="72"/>
      <c r="G1232" s="72"/>
      <c r="H1232" s="72"/>
      <c r="I1232" s="72"/>
      <c r="J1232" s="72"/>
    </row>
    <row r="1233" spans="1:10" ht="15" x14ac:dyDescent="0.2">
      <c r="A1233" s="72"/>
      <c r="B1233" s="72"/>
      <c r="C1233" s="72"/>
      <c r="D1233" s="72"/>
      <c r="E1233" s="72"/>
      <c r="F1233" s="72"/>
      <c r="G1233" s="72"/>
      <c r="H1233" s="72"/>
      <c r="I1233" s="72"/>
      <c r="J1233" s="72"/>
    </row>
    <row r="1234" spans="1:10" ht="15" x14ac:dyDescent="0.2">
      <c r="A1234" s="72"/>
      <c r="B1234" s="72"/>
      <c r="C1234" s="72"/>
      <c r="D1234" s="72"/>
      <c r="E1234" s="72"/>
      <c r="F1234" s="72"/>
      <c r="G1234" s="72"/>
      <c r="H1234" s="72"/>
      <c r="I1234" s="72"/>
      <c r="J1234" s="72"/>
    </row>
    <row r="1235" spans="1:10" ht="15" x14ac:dyDescent="0.2">
      <c r="A1235" s="72"/>
      <c r="B1235" s="72"/>
      <c r="C1235" s="72"/>
      <c r="D1235" s="72"/>
      <c r="E1235" s="72"/>
      <c r="F1235" s="72"/>
      <c r="G1235" s="72"/>
      <c r="H1235" s="72"/>
      <c r="I1235" s="72"/>
      <c r="J1235" s="72"/>
    </row>
    <row r="1236" spans="1:10" ht="15" x14ac:dyDescent="0.2">
      <c r="A1236" s="72"/>
      <c r="B1236" s="72"/>
      <c r="C1236" s="72"/>
      <c r="D1236" s="72"/>
      <c r="E1236" s="72"/>
      <c r="F1236" s="72"/>
      <c r="G1236" s="72"/>
      <c r="H1236" s="72"/>
      <c r="I1236" s="72"/>
      <c r="J1236" s="72"/>
    </row>
    <row r="1237" spans="1:10" ht="15" x14ac:dyDescent="0.2">
      <c r="A1237" s="72"/>
      <c r="B1237" s="72"/>
      <c r="C1237" s="72"/>
      <c r="D1237" s="72"/>
      <c r="E1237" s="72"/>
      <c r="F1237" s="72"/>
      <c r="G1237" s="72"/>
      <c r="H1237" s="72"/>
      <c r="I1237" s="72"/>
      <c r="J1237" s="72"/>
    </row>
    <row r="1238" spans="1:10" ht="15" x14ac:dyDescent="0.2">
      <c r="A1238" s="72"/>
      <c r="B1238" s="72"/>
      <c r="C1238" s="72"/>
      <c r="D1238" s="72"/>
      <c r="E1238" s="72"/>
      <c r="F1238" s="72"/>
      <c r="G1238" s="72"/>
      <c r="H1238" s="72"/>
      <c r="I1238" s="72"/>
      <c r="J1238" s="72"/>
    </row>
    <row r="1239" spans="1:10" ht="15" x14ac:dyDescent="0.2">
      <c r="A1239" s="72"/>
      <c r="B1239" s="72"/>
      <c r="C1239" s="72"/>
      <c r="D1239" s="72"/>
      <c r="E1239" s="72"/>
      <c r="F1239" s="72"/>
      <c r="G1239" s="72"/>
      <c r="H1239" s="72"/>
      <c r="I1239" s="72"/>
      <c r="J1239" s="72"/>
    </row>
    <row r="1240" spans="1:10" ht="15" x14ac:dyDescent="0.2">
      <c r="A1240" s="72"/>
      <c r="B1240" s="72"/>
      <c r="C1240" s="72"/>
      <c r="D1240" s="72"/>
      <c r="E1240" s="72"/>
      <c r="F1240" s="72"/>
      <c r="G1240" s="72"/>
      <c r="H1240" s="72"/>
      <c r="I1240" s="72"/>
      <c r="J1240" s="72"/>
    </row>
    <row r="1241" spans="1:10" ht="15" x14ac:dyDescent="0.2">
      <c r="A1241" s="72"/>
      <c r="B1241" s="72"/>
      <c r="C1241" s="72"/>
      <c r="D1241" s="72"/>
      <c r="E1241" s="72"/>
      <c r="F1241" s="72"/>
      <c r="G1241" s="72"/>
      <c r="H1241" s="72"/>
      <c r="I1241" s="72"/>
      <c r="J1241" s="72"/>
    </row>
    <row r="1242" spans="1:10" ht="15" x14ac:dyDescent="0.2">
      <c r="A1242" s="72"/>
      <c r="B1242" s="72"/>
      <c r="C1242" s="72"/>
      <c r="D1242" s="72"/>
      <c r="E1242" s="72"/>
      <c r="F1242" s="72"/>
      <c r="G1242" s="72"/>
      <c r="H1242" s="72"/>
      <c r="I1242" s="72"/>
      <c r="J1242" s="72"/>
    </row>
    <row r="1243" spans="1:10" ht="15" x14ac:dyDescent="0.2">
      <c r="A1243" s="72"/>
      <c r="B1243" s="72"/>
      <c r="C1243" s="72"/>
      <c r="D1243" s="72"/>
      <c r="E1243" s="72"/>
      <c r="F1243" s="72"/>
      <c r="G1243" s="72"/>
      <c r="H1243" s="72"/>
      <c r="I1243" s="72"/>
      <c r="J1243" s="72"/>
    </row>
    <row r="1244" spans="1:10" ht="15" x14ac:dyDescent="0.2">
      <c r="A1244" s="72"/>
      <c r="B1244" s="72"/>
      <c r="C1244" s="72"/>
      <c r="D1244" s="72"/>
      <c r="E1244" s="72"/>
      <c r="F1244" s="72"/>
      <c r="G1244" s="72"/>
      <c r="H1244" s="72"/>
      <c r="I1244" s="72"/>
      <c r="J1244" s="72"/>
    </row>
    <row r="1245" spans="1:10" ht="15" x14ac:dyDescent="0.2">
      <c r="A1245" s="72"/>
      <c r="B1245" s="72"/>
      <c r="C1245" s="72"/>
      <c r="D1245" s="72"/>
      <c r="E1245" s="72"/>
      <c r="F1245" s="72"/>
      <c r="G1245" s="72"/>
      <c r="H1245" s="72"/>
      <c r="I1245" s="72"/>
      <c r="J1245" s="72"/>
    </row>
    <row r="1246" spans="1:10" ht="15" x14ac:dyDescent="0.2">
      <c r="A1246" s="72"/>
      <c r="B1246" s="72"/>
      <c r="C1246" s="72"/>
      <c r="D1246" s="72"/>
      <c r="E1246" s="72"/>
      <c r="F1246" s="72"/>
      <c r="G1246" s="72"/>
      <c r="H1246" s="72"/>
      <c r="I1246" s="72"/>
      <c r="J1246" s="72"/>
    </row>
    <row r="1247" spans="1:10" ht="15" x14ac:dyDescent="0.2">
      <c r="A1247" s="72"/>
      <c r="B1247" s="72"/>
      <c r="C1247" s="72"/>
      <c r="D1247" s="72"/>
      <c r="E1247" s="72"/>
      <c r="F1247" s="72"/>
      <c r="G1247" s="72"/>
      <c r="H1247" s="72"/>
      <c r="I1247" s="72"/>
      <c r="J1247" s="72"/>
    </row>
    <row r="1248" spans="1:10" ht="15" x14ac:dyDescent="0.2">
      <c r="A1248" s="72"/>
      <c r="B1248" s="72"/>
      <c r="C1248" s="72"/>
      <c r="D1248" s="72"/>
      <c r="E1248" s="72"/>
      <c r="F1248" s="72"/>
      <c r="G1248" s="72"/>
      <c r="H1248" s="72"/>
      <c r="I1248" s="72"/>
      <c r="J1248" s="72"/>
    </row>
    <row r="1249" spans="1:10" ht="15" x14ac:dyDescent="0.2">
      <c r="A1249" s="72"/>
      <c r="B1249" s="72"/>
      <c r="C1249" s="72"/>
      <c r="D1249" s="72"/>
      <c r="E1249" s="72"/>
      <c r="F1249" s="72"/>
      <c r="G1249" s="72"/>
      <c r="H1249" s="72"/>
      <c r="I1249" s="72"/>
      <c r="J1249" s="72"/>
    </row>
    <row r="1250" spans="1:10" ht="15" x14ac:dyDescent="0.2">
      <c r="A1250" s="72"/>
      <c r="B1250" s="72"/>
      <c r="C1250" s="72"/>
      <c r="D1250" s="72"/>
      <c r="E1250" s="72"/>
      <c r="F1250" s="72"/>
      <c r="G1250" s="72"/>
      <c r="H1250" s="72"/>
      <c r="I1250" s="72"/>
      <c r="J1250" s="72"/>
    </row>
    <row r="1251" spans="1:10" ht="15" x14ac:dyDescent="0.2">
      <c r="A1251" s="72"/>
      <c r="B1251" s="72"/>
      <c r="C1251" s="72"/>
      <c r="D1251" s="72"/>
      <c r="E1251" s="72"/>
      <c r="F1251" s="72"/>
      <c r="G1251" s="72"/>
      <c r="H1251" s="72"/>
      <c r="I1251" s="72"/>
      <c r="J1251" s="72"/>
    </row>
    <row r="1252" spans="1:10" ht="15" x14ac:dyDescent="0.2">
      <c r="A1252" s="72"/>
      <c r="B1252" s="72"/>
      <c r="C1252" s="72"/>
      <c r="D1252" s="72"/>
      <c r="E1252" s="72"/>
      <c r="F1252" s="72"/>
      <c r="G1252" s="72"/>
      <c r="H1252" s="72"/>
      <c r="I1252" s="72"/>
      <c r="J1252" s="72"/>
    </row>
    <row r="1253" spans="1:10" ht="15" x14ac:dyDescent="0.2">
      <c r="A1253" s="72"/>
      <c r="B1253" s="72"/>
      <c r="C1253" s="72"/>
      <c r="D1253" s="72"/>
      <c r="E1253" s="72"/>
      <c r="F1253" s="72"/>
      <c r="G1253" s="72"/>
      <c r="H1253" s="72"/>
      <c r="I1253" s="72"/>
      <c r="J1253" s="72"/>
    </row>
    <row r="1254" spans="1:10" ht="15" x14ac:dyDescent="0.2">
      <c r="A1254" s="72"/>
      <c r="B1254" s="72"/>
      <c r="C1254" s="72"/>
      <c r="D1254" s="72"/>
      <c r="E1254" s="72"/>
      <c r="F1254" s="72"/>
      <c r="G1254" s="72"/>
      <c r="H1254" s="72"/>
      <c r="I1254" s="72"/>
      <c r="J1254" s="72"/>
    </row>
    <row r="1255" spans="1:10" ht="15" x14ac:dyDescent="0.2">
      <c r="A1255" s="72"/>
      <c r="B1255" s="72"/>
      <c r="C1255" s="72"/>
      <c r="D1255" s="72"/>
      <c r="E1255" s="72"/>
      <c r="F1255" s="72"/>
      <c r="G1255" s="72"/>
      <c r="H1255" s="72"/>
      <c r="I1255" s="72"/>
      <c r="J1255" s="72"/>
    </row>
    <row r="1256" spans="1:10" ht="15" x14ac:dyDescent="0.2">
      <c r="A1256" s="72"/>
      <c r="B1256" s="72"/>
      <c r="C1256" s="72"/>
      <c r="D1256" s="72"/>
      <c r="E1256" s="72"/>
      <c r="F1256" s="72"/>
      <c r="G1256" s="72"/>
      <c r="H1256" s="72"/>
      <c r="I1256" s="72"/>
      <c r="J1256" s="72"/>
    </row>
    <row r="1257" spans="1:10" ht="15" x14ac:dyDescent="0.2">
      <c r="A1257" s="72"/>
      <c r="B1257" s="72"/>
      <c r="C1257" s="72"/>
      <c r="D1257" s="72"/>
      <c r="E1257" s="72"/>
      <c r="F1257" s="72"/>
      <c r="G1257" s="72"/>
      <c r="H1257" s="72"/>
      <c r="I1257" s="72"/>
      <c r="J1257" s="72"/>
    </row>
    <row r="1258" spans="1:10" ht="15" x14ac:dyDescent="0.2">
      <c r="A1258" s="72"/>
      <c r="B1258" s="72"/>
      <c r="C1258" s="72"/>
      <c r="D1258" s="72"/>
      <c r="E1258" s="72"/>
      <c r="F1258" s="72"/>
      <c r="G1258" s="72"/>
      <c r="H1258" s="72"/>
      <c r="I1258" s="72"/>
      <c r="J1258" s="72"/>
    </row>
    <row r="1259" spans="1:10" ht="15" x14ac:dyDescent="0.2">
      <c r="A1259" s="72"/>
      <c r="B1259" s="72"/>
      <c r="C1259" s="72"/>
      <c r="D1259" s="72"/>
      <c r="E1259" s="72"/>
      <c r="F1259" s="72"/>
      <c r="G1259" s="72"/>
      <c r="H1259" s="72"/>
      <c r="I1259" s="72"/>
      <c r="J1259" s="72"/>
    </row>
    <row r="1260" spans="1:10" ht="15" x14ac:dyDescent="0.2">
      <c r="A1260" s="72"/>
      <c r="B1260" s="72"/>
      <c r="C1260" s="72"/>
      <c r="D1260" s="72"/>
      <c r="E1260" s="72"/>
      <c r="F1260" s="72"/>
      <c r="G1260" s="72"/>
      <c r="H1260" s="72"/>
      <c r="I1260" s="72"/>
      <c r="J1260" s="72"/>
    </row>
    <row r="1261" spans="1:10" ht="15" x14ac:dyDescent="0.2">
      <c r="A1261" s="72"/>
      <c r="B1261" s="72"/>
      <c r="C1261" s="72"/>
      <c r="D1261" s="72"/>
      <c r="E1261" s="72"/>
      <c r="F1261" s="72"/>
      <c r="G1261" s="72"/>
      <c r="H1261" s="72"/>
      <c r="I1261" s="72"/>
      <c r="J1261" s="72"/>
    </row>
    <row r="1262" spans="1:10" ht="15" x14ac:dyDescent="0.2">
      <c r="A1262" s="72"/>
      <c r="B1262" s="72"/>
      <c r="C1262" s="72"/>
      <c r="D1262" s="72"/>
      <c r="E1262" s="72"/>
      <c r="F1262" s="72"/>
      <c r="G1262" s="72"/>
      <c r="H1262" s="72"/>
      <c r="I1262" s="72"/>
      <c r="J1262" s="72"/>
    </row>
    <row r="1263" spans="1:10" ht="15" x14ac:dyDescent="0.2">
      <c r="A1263" s="72"/>
      <c r="B1263" s="72"/>
      <c r="C1263" s="72"/>
      <c r="D1263" s="72"/>
      <c r="E1263" s="72"/>
      <c r="F1263" s="72"/>
      <c r="G1263" s="72"/>
      <c r="H1263" s="72"/>
      <c r="I1263" s="72"/>
      <c r="J1263" s="72"/>
    </row>
    <row r="1264" spans="1:10" ht="15" x14ac:dyDescent="0.2">
      <c r="A1264" s="72"/>
      <c r="B1264" s="72"/>
      <c r="C1264" s="72"/>
      <c r="D1264" s="72"/>
      <c r="E1264" s="72"/>
      <c r="F1264" s="72"/>
      <c r="G1264" s="72"/>
      <c r="H1264" s="72"/>
      <c r="I1264" s="72"/>
      <c r="J1264" s="72"/>
    </row>
    <row r="1265" spans="1:10" ht="15" x14ac:dyDescent="0.2">
      <c r="A1265" s="72"/>
      <c r="B1265" s="72"/>
      <c r="C1265" s="72"/>
      <c r="D1265" s="72"/>
      <c r="E1265" s="72"/>
      <c r="F1265" s="72"/>
      <c r="G1265" s="72"/>
      <c r="H1265" s="72"/>
      <c r="I1265" s="72"/>
      <c r="J1265" s="72"/>
    </row>
    <row r="1266" spans="1:10" ht="15" x14ac:dyDescent="0.2">
      <c r="A1266" s="72"/>
      <c r="B1266" s="72"/>
      <c r="C1266" s="72"/>
      <c r="D1266" s="72"/>
      <c r="E1266" s="72"/>
      <c r="F1266" s="72"/>
      <c r="G1266" s="72"/>
      <c r="H1266" s="72"/>
      <c r="I1266" s="72"/>
      <c r="J1266" s="72"/>
    </row>
    <row r="1267" spans="1:10" ht="15" x14ac:dyDescent="0.2">
      <c r="A1267" s="72"/>
      <c r="B1267" s="72"/>
      <c r="C1267" s="72"/>
      <c r="D1267" s="72"/>
      <c r="E1267" s="72"/>
      <c r="F1267" s="72"/>
      <c r="G1267" s="72"/>
      <c r="H1267" s="72"/>
      <c r="I1267" s="72"/>
      <c r="J1267" s="72"/>
    </row>
    <row r="1268" spans="1:10" ht="15" x14ac:dyDescent="0.2">
      <c r="A1268" s="72"/>
      <c r="B1268" s="72"/>
      <c r="C1268" s="72"/>
      <c r="D1268" s="72"/>
      <c r="E1268" s="72"/>
      <c r="F1268" s="72"/>
      <c r="G1268" s="72"/>
      <c r="H1268" s="72"/>
      <c r="I1268" s="72"/>
      <c r="J1268" s="72"/>
    </row>
    <row r="1269" spans="1:10" ht="15" x14ac:dyDescent="0.2">
      <c r="A1269" s="72"/>
      <c r="B1269" s="72"/>
      <c r="C1269" s="72"/>
      <c r="D1269" s="72"/>
      <c r="E1269" s="72"/>
      <c r="F1269" s="72"/>
      <c r="G1269" s="72"/>
      <c r="H1269" s="72"/>
      <c r="I1269" s="72"/>
      <c r="J1269" s="72"/>
    </row>
    <row r="1270" spans="1:10" ht="15" x14ac:dyDescent="0.2">
      <c r="A1270" s="72"/>
      <c r="B1270" s="72"/>
      <c r="C1270" s="72"/>
      <c r="D1270" s="72"/>
      <c r="E1270" s="72"/>
      <c r="F1270" s="72"/>
      <c r="G1270" s="72"/>
      <c r="H1270" s="72"/>
      <c r="I1270" s="72"/>
      <c r="J1270" s="72"/>
    </row>
    <row r="1271" spans="1:10" ht="15" x14ac:dyDescent="0.2">
      <c r="A1271" s="72"/>
      <c r="B1271" s="72"/>
      <c r="C1271" s="72"/>
      <c r="D1271" s="72"/>
      <c r="E1271" s="72"/>
      <c r="F1271" s="72"/>
      <c r="G1271" s="72"/>
      <c r="H1271" s="72"/>
      <c r="I1271" s="72"/>
      <c r="J1271" s="72"/>
    </row>
    <row r="1272" spans="1:10" ht="15" x14ac:dyDescent="0.2">
      <c r="A1272" s="72"/>
      <c r="B1272" s="72"/>
      <c r="C1272" s="72"/>
      <c r="D1272" s="72"/>
      <c r="E1272" s="72"/>
      <c r="F1272" s="72"/>
      <c r="G1272" s="72"/>
      <c r="H1272" s="72"/>
      <c r="I1272" s="72"/>
      <c r="J1272" s="72"/>
    </row>
    <row r="1273" spans="1:10" ht="15" x14ac:dyDescent="0.2">
      <c r="A1273" s="72"/>
      <c r="B1273" s="72"/>
      <c r="C1273" s="72"/>
      <c r="D1273" s="72"/>
      <c r="E1273" s="72"/>
      <c r="F1273" s="72"/>
      <c r="G1273" s="72"/>
      <c r="H1273" s="72"/>
      <c r="I1273" s="72"/>
      <c r="J1273" s="72"/>
    </row>
    <row r="1274" spans="1:10" ht="15" x14ac:dyDescent="0.2">
      <c r="A1274" s="72"/>
      <c r="B1274" s="72"/>
      <c r="C1274" s="72"/>
      <c r="D1274" s="72"/>
      <c r="E1274" s="72"/>
      <c r="F1274" s="72"/>
      <c r="G1274" s="72"/>
      <c r="H1274" s="72"/>
      <c r="I1274" s="72"/>
      <c r="J1274" s="72"/>
    </row>
    <row r="1275" spans="1:10" ht="15" x14ac:dyDescent="0.2">
      <c r="A1275" s="72"/>
      <c r="B1275" s="72"/>
      <c r="C1275" s="72"/>
      <c r="D1275" s="72"/>
      <c r="E1275" s="72"/>
      <c r="F1275" s="72"/>
      <c r="G1275" s="72"/>
      <c r="H1275" s="72"/>
      <c r="I1275" s="72"/>
      <c r="J1275" s="72"/>
    </row>
    <row r="1276" spans="1:10" ht="15" x14ac:dyDescent="0.2">
      <c r="A1276" s="72"/>
      <c r="B1276" s="72"/>
      <c r="C1276" s="72"/>
      <c r="D1276" s="72"/>
      <c r="E1276" s="72"/>
      <c r="F1276" s="72"/>
      <c r="G1276" s="72"/>
      <c r="H1276" s="72"/>
      <c r="I1276" s="72"/>
      <c r="J1276" s="72"/>
    </row>
    <row r="1277" spans="1:10" ht="15" x14ac:dyDescent="0.2">
      <c r="A1277" s="72"/>
      <c r="B1277" s="72"/>
      <c r="C1277" s="72"/>
      <c r="D1277" s="72"/>
      <c r="E1277" s="72"/>
      <c r="F1277" s="72"/>
      <c r="G1277" s="72"/>
      <c r="H1277" s="72"/>
      <c r="I1277" s="72"/>
      <c r="J1277" s="72"/>
    </row>
    <row r="1278" spans="1:10" ht="15" x14ac:dyDescent="0.2">
      <c r="A1278" s="72"/>
      <c r="B1278" s="72"/>
      <c r="C1278" s="72"/>
      <c r="D1278" s="72"/>
      <c r="E1278" s="72"/>
      <c r="F1278" s="72"/>
      <c r="G1278" s="72"/>
      <c r="H1278" s="72"/>
      <c r="I1278" s="72"/>
      <c r="J1278" s="72"/>
    </row>
    <row r="1279" spans="1:10" ht="15" x14ac:dyDescent="0.2">
      <c r="A1279" s="72"/>
      <c r="B1279" s="72"/>
      <c r="C1279" s="72"/>
      <c r="D1279" s="72"/>
      <c r="E1279" s="72"/>
      <c r="F1279" s="72"/>
      <c r="G1279" s="72"/>
      <c r="H1279" s="72"/>
      <c r="I1279" s="72"/>
      <c r="J1279" s="72"/>
    </row>
    <row r="1280" spans="1:10" ht="15" x14ac:dyDescent="0.2">
      <c r="A1280" s="72"/>
      <c r="B1280" s="72"/>
      <c r="C1280" s="72"/>
      <c r="D1280" s="72"/>
      <c r="E1280" s="72"/>
      <c r="F1280" s="72"/>
      <c r="G1280" s="72"/>
      <c r="H1280" s="72"/>
      <c r="I1280" s="72"/>
      <c r="J1280" s="72"/>
    </row>
    <row r="1281" spans="1:10" ht="15" x14ac:dyDescent="0.2">
      <c r="A1281" s="72"/>
      <c r="B1281" s="72"/>
      <c r="C1281" s="72"/>
      <c r="D1281" s="72"/>
      <c r="E1281" s="72"/>
      <c r="F1281" s="72"/>
      <c r="G1281" s="72"/>
      <c r="H1281" s="72"/>
      <c r="I1281" s="72"/>
      <c r="J1281" s="72"/>
    </row>
    <row r="1282" spans="1:10" ht="15" x14ac:dyDescent="0.2">
      <c r="A1282" s="72"/>
      <c r="B1282" s="72"/>
      <c r="C1282" s="72"/>
      <c r="D1282" s="72"/>
      <c r="E1282" s="72"/>
      <c r="F1282" s="72"/>
      <c r="G1282" s="72"/>
      <c r="H1282" s="72"/>
      <c r="I1282" s="72"/>
      <c r="J1282" s="72"/>
    </row>
    <row r="1283" spans="1:10" ht="15" x14ac:dyDescent="0.2">
      <c r="A1283" s="72"/>
      <c r="B1283" s="72"/>
      <c r="C1283" s="72"/>
      <c r="D1283" s="72"/>
      <c r="E1283" s="72"/>
      <c r="F1283" s="72"/>
      <c r="G1283" s="72"/>
      <c r="H1283" s="72"/>
      <c r="I1283" s="72"/>
      <c r="J1283" s="72"/>
    </row>
    <row r="1284" spans="1:10" ht="15" x14ac:dyDescent="0.2">
      <c r="A1284" s="72"/>
      <c r="B1284" s="72"/>
      <c r="C1284" s="72"/>
      <c r="D1284" s="72"/>
      <c r="E1284" s="72"/>
      <c r="F1284" s="72"/>
      <c r="G1284" s="72"/>
      <c r="H1284" s="72"/>
      <c r="I1284" s="72"/>
      <c r="J1284" s="72"/>
    </row>
    <row r="1285" spans="1:10" ht="15" x14ac:dyDescent="0.2">
      <c r="A1285" s="72"/>
      <c r="B1285" s="72"/>
      <c r="C1285" s="72"/>
      <c r="D1285" s="72"/>
      <c r="E1285" s="72"/>
      <c r="F1285" s="72"/>
      <c r="G1285" s="72"/>
      <c r="H1285" s="72"/>
      <c r="I1285" s="72"/>
      <c r="J1285" s="72"/>
    </row>
    <row r="1286" spans="1:10" ht="15" x14ac:dyDescent="0.2">
      <c r="A1286" s="72"/>
      <c r="B1286" s="72"/>
      <c r="C1286" s="72"/>
      <c r="D1286" s="72"/>
      <c r="E1286" s="72"/>
      <c r="F1286" s="72"/>
      <c r="G1286" s="72"/>
      <c r="H1286" s="72"/>
      <c r="I1286" s="72"/>
      <c r="J1286" s="72"/>
    </row>
    <row r="1287" spans="1:10" ht="15" x14ac:dyDescent="0.2">
      <c r="A1287" s="72"/>
      <c r="B1287" s="72"/>
      <c r="C1287" s="72"/>
      <c r="D1287" s="72"/>
      <c r="E1287" s="72"/>
      <c r="F1287" s="72"/>
      <c r="G1287" s="72"/>
      <c r="H1287" s="72"/>
      <c r="I1287" s="72"/>
      <c r="J1287" s="72"/>
    </row>
    <row r="1288" spans="1:10" ht="15" x14ac:dyDescent="0.2">
      <c r="A1288" s="72"/>
      <c r="B1288" s="72"/>
      <c r="C1288" s="72"/>
      <c r="D1288" s="72"/>
      <c r="E1288" s="72"/>
      <c r="F1288" s="72"/>
      <c r="G1288" s="72"/>
      <c r="H1288" s="72"/>
      <c r="I1288" s="72"/>
      <c r="J1288" s="72"/>
    </row>
    <row r="1289" spans="1:10" ht="15" x14ac:dyDescent="0.2">
      <c r="A1289" s="72"/>
      <c r="B1289" s="72"/>
      <c r="C1289" s="72"/>
      <c r="D1289" s="72"/>
      <c r="E1289" s="72"/>
      <c r="F1289" s="72"/>
      <c r="G1289" s="72"/>
      <c r="H1289" s="72"/>
      <c r="I1289" s="72"/>
      <c r="J1289" s="72"/>
    </row>
    <row r="1290" spans="1:10" ht="15" x14ac:dyDescent="0.2">
      <c r="A1290" s="72"/>
      <c r="B1290" s="72"/>
      <c r="C1290" s="72"/>
      <c r="D1290" s="72"/>
      <c r="E1290" s="72"/>
      <c r="F1290" s="72"/>
      <c r="G1290" s="72"/>
      <c r="H1290" s="72"/>
      <c r="I1290" s="72"/>
      <c r="J1290" s="72"/>
    </row>
    <row r="1291" spans="1:10" ht="15" x14ac:dyDescent="0.2">
      <c r="A1291" s="72"/>
      <c r="B1291" s="72"/>
      <c r="C1291" s="72"/>
      <c r="D1291" s="72"/>
      <c r="E1291" s="72"/>
      <c r="F1291" s="72"/>
      <c r="G1291" s="72"/>
      <c r="H1291" s="72"/>
      <c r="I1291" s="72"/>
      <c r="J1291" s="72"/>
    </row>
    <row r="1292" spans="1:10" ht="15" x14ac:dyDescent="0.2">
      <c r="A1292" s="72"/>
      <c r="B1292" s="72"/>
      <c r="C1292" s="72"/>
      <c r="D1292" s="72"/>
      <c r="E1292" s="72"/>
      <c r="F1292" s="72"/>
      <c r="G1292" s="72"/>
      <c r="H1292" s="72"/>
      <c r="I1292" s="72"/>
      <c r="J1292" s="72"/>
    </row>
    <row r="1293" spans="1:10" ht="15" x14ac:dyDescent="0.2">
      <c r="A1293" s="72"/>
      <c r="B1293" s="72"/>
      <c r="C1293" s="72"/>
      <c r="D1293" s="72"/>
      <c r="E1293" s="72"/>
      <c r="F1293" s="72"/>
      <c r="G1293" s="72"/>
      <c r="H1293" s="72"/>
      <c r="I1293" s="72"/>
      <c r="J1293" s="72"/>
    </row>
    <row r="1294" spans="1:10" ht="15" x14ac:dyDescent="0.2">
      <c r="A1294" s="72"/>
      <c r="B1294" s="72"/>
      <c r="C1294" s="72"/>
      <c r="D1294" s="72"/>
      <c r="E1294" s="72"/>
      <c r="F1294" s="72"/>
      <c r="G1294" s="72"/>
      <c r="H1294" s="72"/>
      <c r="I1294" s="72"/>
      <c r="J1294" s="72"/>
    </row>
    <row r="1295" spans="1:10" ht="15" x14ac:dyDescent="0.2">
      <c r="A1295" s="72"/>
      <c r="B1295" s="72"/>
      <c r="C1295" s="72"/>
      <c r="D1295" s="72"/>
      <c r="E1295" s="72"/>
      <c r="F1295" s="72"/>
      <c r="G1295" s="72"/>
      <c r="H1295" s="72"/>
      <c r="I1295" s="72"/>
      <c r="J1295" s="72"/>
    </row>
    <row r="1296" spans="1:10" ht="15" x14ac:dyDescent="0.2">
      <c r="A1296" s="72"/>
      <c r="B1296" s="72"/>
      <c r="C1296" s="72"/>
      <c r="D1296" s="72"/>
      <c r="E1296" s="72"/>
      <c r="F1296" s="72"/>
      <c r="G1296" s="72"/>
      <c r="H1296" s="72"/>
      <c r="I1296" s="72"/>
      <c r="J1296" s="72"/>
    </row>
    <row r="1297" spans="1:10" ht="15" x14ac:dyDescent="0.2">
      <c r="A1297" s="72"/>
      <c r="B1297" s="72"/>
      <c r="C1297" s="72"/>
      <c r="D1297" s="72"/>
      <c r="E1297" s="72"/>
      <c r="F1297" s="72"/>
      <c r="G1297" s="72"/>
      <c r="H1297" s="72"/>
      <c r="I1297" s="72"/>
      <c r="J1297" s="72"/>
    </row>
    <row r="1298" spans="1:10" ht="15" x14ac:dyDescent="0.2">
      <c r="A1298" s="72"/>
      <c r="B1298" s="72"/>
      <c r="C1298" s="72"/>
      <c r="D1298" s="72"/>
      <c r="E1298" s="72"/>
      <c r="F1298" s="72"/>
      <c r="G1298" s="72"/>
      <c r="H1298" s="72"/>
      <c r="I1298" s="72"/>
      <c r="J1298" s="72"/>
    </row>
    <row r="1299" spans="1:10" ht="15" x14ac:dyDescent="0.2">
      <c r="A1299" s="72"/>
      <c r="B1299" s="72"/>
      <c r="C1299" s="72"/>
      <c r="D1299" s="72"/>
      <c r="E1299" s="72"/>
      <c r="F1299" s="72"/>
      <c r="G1299" s="72"/>
      <c r="H1299" s="72"/>
      <c r="I1299" s="72"/>
      <c r="J1299" s="72"/>
    </row>
    <row r="1300" spans="1:10" ht="15" x14ac:dyDescent="0.2">
      <c r="A1300" s="72"/>
      <c r="B1300" s="72"/>
      <c r="C1300" s="72"/>
      <c r="D1300" s="72"/>
      <c r="E1300" s="72"/>
      <c r="F1300" s="72"/>
      <c r="G1300" s="72"/>
      <c r="H1300" s="72"/>
      <c r="I1300" s="72"/>
      <c r="J1300" s="72"/>
    </row>
    <row r="1301" spans="1:10" ht="15" x14ac:dyDescent="0.2">
      <c r="A1301" s="72"/>
      <c r="B1301" s="72"/>
      <c r="C1301" s="72"/>
      <c r="D1301" s="72"/>
      <c r="E1301" s="72"/>
      <c r="F1301" s="72"/>
      <c r="G1301" s="72"/>
      <c r="H1301" s="72"/>
      <c r="I1301" s="72"/>
      <c r="J1301" s="72"/>
    </row>
    <row r="1302" spans="1:10" ht="15" x14ac:dyDescent="0.2">
      <c r="A1302" s="72"/>
      <c r="B1302" s="72"/>
      <c r="C1302" s="72"/>
      <c r="D1302" s="72"/>
      <c r="E1302" s="72"/>
      <c r="F1302" s="72"/>
      <c r="G1302" s="72"/>
      <c r="H1302" s="72"/>
      <c r="I1302" s="72"/>
      <c r="J1302" s="72"/>
    </row>
    <row r="1303" spans="1:10" ht="15" x14ac:dyDescent="0.2">
      <c r="A1303" s="72"/>
      <c r="B1303" s="72"/>
      <c r="C1303" s="72"/>
      <c r="D1303" s="72"/>
      <c r="E1303" s="72"/>
      <c r="F1303" s="72"/>
      <c r="G1303" s="72"/>
      <c r="H1303" s="72"/>
      <c r="I1303" s="72"/>
      <c r="J1303" s="72"/>
    </row>
    <row r="1304" spans="1:10" ht="15" x14ac:dyDescent="0.2">
      <c r="A1304" s="72"/>
      <c r="B1304" s="72"/>
      <c r="C1304" s="72"/>
      <c r="D1304" s="72"/>
      <c r="E1304" s="72"/>
      <c r="F1304" s="72"/>
      <c r="G1304" s="72"/>
      <c r="H1304" s="72"/>
      <c r="I1304" s="72"/>
      <c r="J1304" s="72"/>
    </row>
    <row r="1305" spans="1:10" ht="15" x14ac:dyDescent="0.2">
      <c r="A1305" s="72"/>
      <c r="B1305" s="72"/>
      <c r="C1305" s="72"/>
      <c r="D1305" s="72"/>
      <c r="E1305" s="72"/>
      <c r="F1305" s="72"/>
      <c r="G1305" s="72"/>
      <c r="H1305" s="72"/>
      <c r="I1305" s="72"/>
      <c r="J1305" s="72"/>
    </row>
    <row r="1306" spans="1:10" ht="15" x14ac:dyDescent="0.2">
      <c r="A1306" s="72"/>
      <c r="B1306" s="72"/>
      <c r="C1306" s="72"/>
      <c r="D1306" s="72"/>
      <c r="E1306" s="72"/>
      <c r="F1306" s="72"/>
      <c r="G1306" s="72"/>
      <c r="H1306" s="72"/>
      <c r="I1306" s="72"/>
      <c r="J1306" s="72"/>
    </row>
    <row r="1307" spans="1:10" ht="15" x14ac:dyDescent="0.2">
      <c r="A1307" s="72"/>
      <c r="B1307" s="72"/>
      <c r="C1307" s="72"/>
      <c r="D1307" s="72"/>
      <c r="E1307" s="72"/>
      <c r="F1307" s="72"/>
      <c r="G1307" s="72"/>
      <c r="H1307" s="72"/>
      <c r="I1307" s="72"/>
      <c r="J1307" s="72"/>
    </row>
    <row r="1308" spans="1:10" ht="15" x14ac:dyDescent="0.2">
      <c r="A1308" s="72"/>
      <c r="B1308" s="72"/>
      <c r="C1308" s="72"/>
      <c r="D1308" s="72"/>
      <c r="E1308" s="72"/>
      <c r="F1308" s="72"/>
      <c r="G1308" s="72"/>
      <c r="H1308" s="72"/>
      <c r="I1308" s="72"/>
      <c r="J1308" s="72"/>
    </row>
    <row r="1309" spans="1:10" ht="15" x14ac:dyDescent="0.2">
      <c r="A1309" s="72"/>
      <c r="B1309" s="72"/>
      <c r="C1309" s="72"/>
      <c r="D1309" s="72"/>
      <c r="E1309" s="72"/>
      <c r="F1309" s="72"/>
      <c r="G1309" s="72"/>
      <c r="H1309" s="72"/>
      <c r="I1309" s="72"/>
      <c r="J1309" s="72"/>
    </row>
    <row r="1310" spans="1:10" ht="15" x14ac:dyDescent="0.2">
      <c r="A1310" s="72"/>
      <c r="B1310" s="72"/>
      <c r="C1310" s="72"/>
      <c r="D1310" s="72"/>
      <c r="E1310" s="72"/>
      <c r="F1310" s="72"/>
      <c r="G1310" s="72"/>
      <c r="H1310" s="72"/>
      <c r="I1310" s="72"/>
      <c r="J1310" s="72"/>
    </row>
    <row r="1311" spans="1:10" ht="15" x14ac:dyDescent="0.2">
      <c r="A1311" s="72"/>
      <c r="B1311" s="72"/>
      <c r="C1311" s="72"/>
      <c r="D1311" s="72"/>
      <c r="E1311" s="72"/>
      <c r="F1311" s="72"/>
      <c r="G1311" s="72"/>
      <c r="H1311" s="72"/>
      <c r="I1311" s="72"/>
      <c r="J1311" s="72"/>
    </row>
    <row r="1312" spans="1:10" ht="15" x14ac:dyDescent="0.2">
      <c r="A1312" s="72"/>
      <c r="B1312" s="72"/>
      <c r="C1312" s="72"/>
      <c r="D1312" s="72"/>
      <c r="E1312" s="72"/>
      <c r="F1312" s="72"/>
      <c r="G1312" s="72"/>
      <c r="H1312" s="72"/>
      <c r="I1312" s="72"/>
      <c r="J1312" s="72"/>
    </row>
    <row r="1313" spans="1:10" ht="15" x14ac:dyDescent="0.2">
      <c r="A1313" s="72"/>
      <c r="B1313" s="72"/>
      <c r="C1313" s="72"/>
      <c r="D1313" s="72"/>
      <c r="E1313" s="72"/>
      <c r="F1313" s="72"/>
      <c r="G1313" s="72"/>
      <c r="H1313" s="72"/>
      <c r="I1313" s="72"/>
      <c r="J1313" s="72"/>
    </row>
    <row r="1314" spans="1:10" ht="15" x14ac:dyDescent="0.2">
      <c r="A1314" s="72"/>
      <c r="B1314" s="72"/>
      <c r="C1314" s="72"/>
      <c r="D1314" s="72"/>
      <c r="E1314" s="72"/>
      <c r="F1314" s="72"/>
      <c r="G1314" s="72"/>
      <c r="H1314" s="72"/>
      <c r="I1314" s="72"/>
      <c r="J1314" s="72"/>
    </row>
    <row r="1315" spans="1:10" ht="15" x14ac:dyDescent="0.2">
      <c r="A1315" s="72"/>
      <c r="B1315" s="72"/>
      <c r="C1315" s="72"/>
      <c r="D1315" s="72"/>
      <c r="E1315" s="72"/>
      <c r="F1315" s="72"/>
      <c r="G1315" s="72"/>
      <c r="H1315" s="72"/>
      <c r="I1315" s="72"/>
      <c r="J1315" s="72"/>
    </row>
    <row r="1316" spans="1:10" ht="15" x14ac:dyDescent="0.2">
      <c r="A1316" s="72"/>
      <c r="B1316" s="72"/>
      <c r="C1316" s="72"/>
      <c r="D1316" s="72"/>
      <c r="E1316" s="72"/>
      <c r="F1316" s="72"/>
      <c r="G1316" s="72"/>
      <c r="H1316" s="72"/>
      <c r="I1316" s="72"/>
      <c r="J1316" s="72"/>
    </row>
    <row r="1317" spans="1:10" ht="15" x14ac:dyDescent="0.2">
      <c r="A1317" s="72"/>
      <c r="B1317" s="72"/>
      <c r="C1317" s="72"/>
      <c r="D1317" s="72"/>
      <c r="E1317" s="72"/>
      <c r="F1317" s="72"/>
      <c r="G1317" s="72"/>
      <c r="H1317" s="72"/>
      <c r="I1317" s="72"/>
      <c r="J1317" s="72"/>
    </row>
    <row r="1318" spans="1:10" ht="15" x14ac:dyDescent="0.2">
      <c r="A1318" s="72"/>
      <c r="B1318" s="72"/>
      <c r="C1318" s="72"/>
      <c r="D1318" s="72"/>
      <c r="E1318" s="72"/>
      <c r="F1318" s="72"/>
      <c r="G1318" s="72"/>
      <c r="H1318" s="72"/>
      <c r="I1318" s="72"/>
      <c r="J1318" s="72"/>
    </row>
    <row r="1319" spans="1:10" ht="15" x14ac:dyDescent="0.2">
      <c r="A1319" s="72"/>
      <c r="B1319" s="72"/>
      <c r="C1319" s="72"/>
      <c r="D1319" s="72"/>
      <c r="E1319" s="72"/>
      <c r="F1319" s="72"/>
      <c r="G1319" s="72"/>
      <c r="H1319" s="72"/>
      <c r="I1319" s="72"/>
      <c r="J1319" s="72"/>
    </row>
    <row r="1320" spans="1:10" ht="15" x14ac:dyDescent="0.2">
      <c r="A1320" s="72"/>
      <c r="B1320" s="72"/>
      <c r="C1320" s="72"/>
      <c r="D1320" s="72"/>
      <c r="E1320" s="72"/>
      <c r="F1320" s="72"/>
      <c r="G1320" s="72"/>
      <c r="H1320" s="72"/>
      <c r="I1320" s="72"/>
      <c r="J1320" s="72"/>
    </row>
    <row r="1321" spans="1:10" ht="15" x14ac:dyDescent="0.2">
      <c r="A1321" s="72"/>
      <c r="B1321" s="72"/>
      <c r="C1321" s="72"/>
      <c r="D1321" s="72"/>
      <c r="E1321" s="72"/>
      <c r="F1321" s="72"/>
      <c r="G1321" s="72"/>
      <c r="H1321" s="72"/>
      <c r="I1321" s="72"/>
      <c r="J1321" s="72"/>
    </row>
    <row r="1322" spans="1:10" ht="15" x14ac:dyDescent="0.2">
      <c r="A1322" s="72"/>
      <c r="B1322" s="72"/>
      <c r="C1322" s="72"/>
      <c r="D1322" s="72"/>
      <c r="E1322" s="72"/>
      <c r="F1322" s="72"/>
      <c r="G1322" s="72"/>
      <c r="H1322" s="72"/>
      <c r="I1322" s="72"/>
      <c r="J1322" s="72"/>
    </row>
    <row r="1323" spans="1:10" ht="15" x14ac:dyDescent="0.2">
      <c r="A1323" s="72"/>
      <c r="B1323" s="72"/>
      <c r="C1323" s="72"/>
      <c r="D1323" s="72"/>
      <c r="E1323" s="72"/>
      <c r="F1323" s="72"/>
      <c r="G1323" s="72"/>
      <c r="H1323" s="72"/>
      <c r="I1323" s="72"/>
      <c r="J1323" s="72"/>
    </row>
    <row r="1324" spans="1:10" ht="15" x14ac:dyDescent="0.2">
      <c r="A1324" s="72"/>
      <c r="B1324" s="72"/>
      <c r="C1324" s="72"/>
      <c r="D1324" s="72"/>
      <c r="E1324" s="72"/>
      <c r="F1324" s="72"/>
      <c r="G1324" s="72"/>
      <c r="H1324" s="72"/>
      <c r="I1324" s="72"/>
      <c r="J1324" s="72"/>
    </row>
    <row r="1325" spans="1:10" ht="15" x14ac:dyDescent="0.2">
      <c r="A1325" s="72"/>
      <c r="B1325" s="72"/>
      <c r="C1325" s="72"/>
      <c r="D1325" s="72"/>
      <c r="E1325" s="72"/>
      <c r="F1325" s="72"/>
      <c r="G1325" s="72"/>
      <c r="H1325" s="72"/>
      <c r="I1325" s="72"/>
      <c r="J1325" s="72"/>
    </row>
    <row r="1326" spans="1:10" ht="15" x14ac:dyDescent="0.2">
      <c r="A1326" s="72"/>
      <c r="B1326" s="72"/>
      <c r="C1326" s="72"/>
      <c r="D1326" s="72"/>
      <c r="E1326" s="72"/>
      <c r="F1326" s="72"/>
      <c r="G1326" s="72"/>
      <c r="H1326" s="72"/>
      <c r="I1326" s="72"/>
      <c r="J1326" s="72"/>
    </row>
    <row r="1327" spans="1:10" ht="15" x14ac:dyDescent="0.2">
      <c r="A1327" s="72"/>
      <c r="B1327" s="72"/>
      <c r="C1327" s="72"/>
      <c r="D1327" s="72"/>
      <c r="E1327" s="72"/>
      <c r="F1327" s="72"/>
      <c r="G1327" s="72"/>
      <c r="H1327" s="72"/>
      <c r="I1327" s="72"/>
      <c r="J1327" s="72"/>
    </row>
    <row r="1328" spans="1:10" ht="15" x14ac:dyDescent="0.2">
      <c r="A1328" s="72"/>
      <c r="B1328" s="72"/>
      <c r="C1328" s="72"/>
      <c r="D1328" s="72"/>
      <c r="E1328" s="72"/>
      <c r="F1328" s="72"/>
      <c r="G1328" s="72"/>
      <c r="H1328" s="72"/>
      <c r="I1328" s="72"/>
      <c r="J1328" s="72"/>
    </row>
    <row r="1329" spans="1:10" ht="15" x14ac:dyDescent="0.2">
      <c r="A1329" s="72"/>
      <c r="B1329" s="72"/>
      <c r="C1329" s="72"/>
      <c r="D1329" s="72"/>
      <c r="E1329" s="72"/>
      <c r="F1329" s="72"/>
      <c r="G1329" s="72"/>
      <c r="H1329" s="72"/>
      <c r="I1329" s="72"/>
      <c r="J1329" s="72"/>
    </row>
    <row r="1330" spans="1:10" ht="15" x14ac:dyDescent="0.2">
      <c r="A1330" s="72"/>
      <c r="B1330" s="72"/>
      <c r="C1330" s="72"/>
      <c r="D1330" s="72"/>
      <c r="E1330" s="72"/>
      <c r="F1330" s="72"/>
      <c r="G1330" s="72"/>
      <c r="H1330" s="72"/>
      <c r="I1330" s="72"/>
      <c r="J1330" s="72"/>
    </row>
    <row r="1331" spans="1:10" ht="15" x14ac:dyDescent="0.2">
      <c r="A1331" s="72"/>
      <c r="B1331" s="72"/>
      <c r="C1331" s="72"/>
      <c r="D1331" s="72"/>
      <c r="E1331" s="72"/>
      <c r="F1331" s="72"/>
      <c r="G1331" s="72"/>
      <c r="H1331" s="72"/>
      <c r="I1331" s="72"/>
      <c r="J1331" s="72"/>
    </row>
    <row r="1332" spans="1:10" ht="15" x14ac:dyDescent="0.2">
      <c r="A1332" s="72"/>
      <c r="B1332" s="72"/>
      <c r="C1332" s="72"/>
      <c r="D1332" s="72"/>
      <c r="E1332" s="72"/>
      <c r="F1332" s="72"/>
      <c r="G1332" s="72"/>
      <c r="H1332" s="72"/>
      <c r="I1332" s="72"/>
      <c r="J1332" s="72"/>
    </row>
    <row r="1333" spans="1:10" ht="15" x14ac:dyDescent="0.2">
      <c r="A1333" s="72"/>
      <c r="B1333" s="72"/>
      <c r="C1333" s="72"/>
      <c r="D1333" s="72"/>
      <c r="E1333" s="72"/>
      <c r="F1333" s="72"/>
      <c r="G1333" s="72"/>
      <c r="H1333" s="72"/>
      <c r="I1333" s="72"/>
      <c r="J1333" s="72"/>
    </row>
    <row r="1334" spans="1:10" ht="15" x14ac:dyDescent="0.2">
      <c r="A1334" s="72"/>
      <c r="B1334" s="72"/>
      <c r="C1334" s="72"/>
      <c r="D1334" s="72"/>
      <c r="E1334" s="72"/>
      <c r="F1334" s="72"/>
      <c r="G1334" s="72"/>
      <c r="H1334" s="72"/>
      <c r="I1334" s="72"/>
      <c r="J1334" s="72"/>
    </row>
    <row r="1335" spans="1:10" ht="15" x14ac:dyDescent="0.2">
      <c r="A1335" s="72"/>
      <c r="B1335" s="72"/>
      <c r="C1335" s="72"/>
      <c r="D1335" s="72"/>
      <c r="E1335" s="72"/>
      <c r="F1335" s="72"/>
      <c r="G1335" s="72"/>
      <c r="H1335" s="72"/>
      <c r="I1335" s="72"/>
      <c r="J1335" s="72"/>
    </row>
    <row r="1336" spans="1:10" ht="15" x14ac:dyDescent="0.2">
      <c r="A1336" s="72"/>
      <c r="B1336" s="72"/>
      <c r="C1336" s="72"/>
      <c r="D1336" s="72"/>
      <c r="E1336" s="72"/>
      <c r="F1336" s="72"/>
      <c r="G1336" s="72"/>
      <c r="H1336" s="72"/>
      <c r="I1336" s="72"/>
      <c r="J1336" s="72"/>
    </row>
    <row r="1337" spans="1:10" ht="15" x14ac:dyDescent="0.2">
      <c r="A1337" s="72"/>
      <c r="B1337" s="72"/>
      <c r="C1337" s="72"/>
      <c r="D1337" s="72"/>
      <c r="E1337" s="72"/>
      <c r="F1337" s="72"/>
      <c r="G1337" s="72"/>
      <c r="H1337" s="72"/>
      <c r="I1337" s="72"/>
      <c r="J1337" s="72"/>
    </row>
    <row r="1338" spans="1:10" ht="15" x14ac:dyDescent="0.2">
      <c r="A1338" s="72"/>
      <c r="B1338" s="72"/>
      <c r="C1338" s="72"/>
      <c r="D1338" s="72"/>
      <c r="E1338" s="72"/>
      <c r="F1338" s="72"/>
      <c r="G1338" s="72"/>
      <c r="H1338" s="72"/>
      <c r="I1338" s="72"/>
      <c r="J1338" s="72"/>
    </row>
    <row r="1339" spans="1:10" ht="15" x14ac:dyDescent="0.2">
      <c r="A1339" s="72"/>
      <c r="B1339" s="72"/>
      <c r="C1339" s="72"/>
      <c r="D1339" s="72"/>
      <c r="E1339" s="72"/>
      <c r="F1339" s="72"/>
      <c r="G1339" s="72"/>
      <c r="H1339" s="72"/>
      <c r="I1339" s="72"/>
      <c r="J1339" s="72"/>
    </row>
    <row r="1340" spans="1:10" ht="15" x14ac:dyDescent="0.2">
      <c r="A1340" s="72"/>
      <c r="B1340" s="72"/>
      <c r="C1340" s="72"/>
      <c r="D1340" s="72"/>
      <c r="E1340" s="72"/>
      <c r="F1340" s="72"/>
      <c r="G1340" s="72"/>
      <c r="H1340" s="72"/>
      <c r="I1340" s="72"/>
      <c r="J1340" s="72"/>
    </row>
    <row r="1341" spans="1:10" ht="15" x14ac:dyDescent="0.2">
      <c r="A1341" s="72"/>
      <c r="B1341" s="72"/>
      <c r="C1341" s="72"/>
      <c r="D1341" s="72"/>
      <c r="E1341" s="72"/>
      <c r="F1341" s="72"/>
      <c r="G1341" s="72"/>
      <c r="H1341" s="72"/>
      <c r="I1341" s="72"/>
      <c r="J1341" s="72"/>
    </row>
    <row r="1342" spans="1:10" ht="15" x14ac:dyDescent="0.2">
      <c r="A1342" s="72"/>
      <c r="B1342" s="72"/>
      <c r="C1342" s="72"/>
      <c r="D1342" s="72"/>
      <c r="E1342" s="72"/>
      <c r="F1342" s="72"/>
      <c r="G1342" s="72"/>
      <c r="H1342" s="72"/>
      <c r="I1342" s="72"/>
      <c r="J1342" s="72"/>
    </row>
    <row r="1343" spans="1:10" ht="15" x14ac:dyDescent="0.2">
      <c r="A1343" s="72"/>
      <c r="B1343" s="72"/>
      <c r="C1343" s="72"/>
      <c r="D1343" s="72"/>
      <c r="E1343" s="72"/>
      <c r="F1343" s="72"/>
      <c r="G1343" s="72"/>
      <c r="H1343" s="72"/>
      <c r="I1343" s="72"/>
      <c r="J1343" s="72"/>
    </row>
    <row r="1344" spans="1:10" ht="15" x14ac:dyDescent="0.2">
      <c r="A1344" s="72"/>
      <c r="B1344" s="72"/>
      <c r="C1344" s="72"/>
      <c r="D1344" s="72"/>
      <c r="E1344" s="72"/>
      <c r="F1344" s="72"/>
      <c r="G1344" s="72"/>
      <c r="H1344" s="72"/>
      <c r="I1344" s="72"/>
      <c r="J1344" s="72"/>
    </row>
    <row r="1345" spans="1:10" ht="15" x14ac:dyDescent="0.2">
      <c r="A1345" s="72"/>
      <c r="B1345" s="72"/>
      <c r="C1345" s="72"/>
      <c r="D1345" s="72"/>
      <c r="E1345" s="72"/>
      <c r="F1345" s="72"/>
      <c r="G1345" s="72"/>
      <c r="H1345" s="72"/>
      <c r="I1345" s="72"/>
      <c r="J1345" s="72"/>
    </row>
    <row r="1346" spans="1:10" ht="15" x14ac:dyDescent="0.2">
      <c r="A1346" s="72"/>
      <c r="B1346" s="72"/>
      <c r="C1346" s="72"/>
      <c r="D1346" s="72"/>
      <c r="E1346" s="72"/>
      <c r="F1346" s="72"/>
      <c r="G1346" s="72"/>
      <c r="H1346" s="72"/>
      <c r="I1346" s="72"/>
      <c r="J1346" s="72"/>
    </row>
    <row r="1347" spans="1:10" ht="15" x14ac:dyDescent="0.2">
      <c r="A1347" s="72"/>
      <c r="B1347" s="72"/>
      <c r="C1347" s="72"/>
      <c r="D1347" s="72"/>
      <c r="E1347" s="72"/>
      <c r="F1347" s="72"/>
      <c r="G1347" s="72"/>
      <c r="H1347" s="72"/>
      <c r="I1347" s="72"/>
      <c r="J1347" s="72"/>
    </row>
    <row r="1348" spans="1:10" ht="15" x14ac:dyDescent="0.2">
      <c r="A1348" s="72"/>
      <c r="B1348" s="72"/>
      <c r="C1348" s="72"/>
      <c r="D1348" s="72"/>
      <c r="E1348" s="72"/>
      <c r="F1348" s="72"/>
      <c r="G1348" s="72"/>
      <c r="H1348" s="72"/>
      <c r="I1348" s="72"/>
      <c r="J1348" s="72"/>
    </row>
    <row r="1349" spans="1:10" ht="15" x14ac:dyDescent="0.2">
      <c r="A1349" s="72"/>
      <c r="B1349" s="72"/>
      <c r="C1349" s="72"/>
      <c r="D1349" s="72"/>
      <c r="E1349" s="72"/>
      <c r="F1349" s="72"/>
      <c r="G1349" s="72"/>
      <c r="H1349" s="72"/>
      <c r="I1349" s="72"/>
      <c r="J1349" s="72"/>
    </row>
    <row r="1350" spans="1:10" ht="15" x14ac:dyDescent="0.2">
      <c r="A1350" s="72"/>
      <c r="B1350" s="72"/>
      <c r="C1350" s="72"/>
      <c r="D1350" s="72"/>
      <c r="E1350" s="72"/>
      <c r="F1350" s="72"/>
      <c r="G1350" s="72"/>
      <c r="H1350" s="72"/>
      <c r="I1350" s="72"/>
      <c r="J1350" s="72"/>
    </row>
    <row r="1351" spans="1:10" ht="15" x14ac:dyDescent="0.2">
      <c r="A1351" s="72"/>
      <c r="B1351" s="72"/>
      <c r="C1351" s="72"/>
      <c r="D1351" s="72"/>
      <c r="E1351" s="72"/>
      <c r="F1351" s="72"/>
      <c r="G1351" s="72"/>
      <c r="H1351" s="72"/>
      <c r="I1351" s="72"/>
      <c r="J1351" s="72"/>
    </row>
    <row r="1352" spans="1:10" ht="15" x14ac:dyDescent="0.2">
      <c r="A1352" s="72"/>
      <c r="B1352" s="72"/>
      <c r="C1352" s="72"/>
      <c r="D1352" s="72"/>
      <c r="E1352" s="72"/>
      <c r="F1352" s="72"/>
      <c r="G1352" s="72"/>
      <c r="H1352" s="72"/>
      <c r="I1352" s="72"/>
      <c r="J1352" s="72"/>
    </row>
    <row r="1353" spans="1:10" ht="15" x14ac:dyDescent="0.2">
      <c r="A1353" s="72"/>
      <c r="B1353" s="72"/>
      <c r="C1353" s="72"/>
      <c r="D1353" s="72"/>
      <c r="E1353" s="72"/>
      <c r="F1353" s="72"/>
      <c r="G1353" s="72"/>
      <c r="H1353" s="72"/>
      <c r="I1353" s="72"/>
      <c r="J1353" s="72"/>
    </row>
    <row r="1354" spans="1:10" ht="15" x14ac:dyDescent="0.2">
      <c r="A1354" s="72"/>
      <c r="B1354" s="72"/>
      <c r="C1354" s="72"/>
      <c r="D1354" s="72"/>
      <c r="E1354" s="72"/>
      <c r="F1354" s="72"/>
      <c r="G1354" s="72"/>
      <c r="H1354" s="72"/>
      <c r="I1354" s="72"/>
      <c r="J1354" s="72"/>
    </row>
    <row r="1355" spans="1:10" ht="15" x14ac:dyDescent="0.2">
      <c r="A1355" s="72"/>
      <c r="B1355" s="72"/>
      <c r="C1355" s="72"/>
      <c r="D1355" s="72"/>
      <c r="E1355" s="72"/>
      <c r="F1355" s="72"/>
      <c r="G1355" s="72"/>
      <c r="H1355" s="72"/>
      <c r="I1355" s="72"/>
      <c r="J1355" s="72"/>
    </row>
    <row r="1356" spans="1:10" ht="15" x14ac:dyDescent="0.2">
      <c r="A1356" s="72"/>
      <c r="B1356" s="72"/>
      <c r="C1356" s="72"/>
      <c r="D1356" s="72"/>
      <c r="E1356" s="72"/>
      <c r="F1356" s="72"/>
      <c r="G1356" s="72"/>
      <c r="H1356" s="72"/>
      <c r="I1356" s="72"/>
      <c r="J1356" s="72"/>
    </row>
    <row r="1357" spans="1:10" ht="15" x14ac:dyDescent="0.2">
      <c r="A1357" s="72"/>
      <c r="B1357" s="72"/>
      <c r="C1357" s="72"/>
      <c r="D1357" s="72"/>
      <c r="E1357" s="72"/>
      <c r="F1357" s="72"/>
      <c r="G1357" s="72"/>
      <c r="H1357" s="72"/>
      <c r="I1357" s="72"/>
      <c r="J1357" s="72"/>
    </row>
    <row r="1358" spans="1:10" ht="15" x14ac:dyDescent="0.2">
      <c r="A1358" s="72"/>
      <c r="B1358" s="72"/>
      <c r="C1358" s="72"/>
      <c r="D1358" s="72"/>
      <c r="E1358" s="72"/>
      <c r="F1358" s="72"/>
      <c r="G1358" s="72"/>
      <c r="H1358" s="72"/>
      <c r="I1358" s="72"/>
      <c r="J1358" s="72"/>
    </row>
    <row r="1359" spans="1:10" ht="15" x14ac:dyDescent="0.2">
      <c r="A1359" s="72"/>
      <c r="B1359" s="72"/>
      <c r="C1359" s="72"/>
      <c r="D1359" s="72"/>
      <c r="E1359" s="72"/>
      <c r="F1359" s="72"/>
      <c r="G1359" s="72"/>
      <c r="H1359" s="72"/>
      <c r="I1359" s="72"/>
      <c r="J1359" s="72"/>
    </row>
    <row r="1360" spans="1:10" ht="15" x14ac:dyDescent="0.2">
      <c r="A1360" s="72"/>
      <c r="B1360" s="72"/>
      <c r="C1360" s="72"/>
      <c r="D1360" s="72"/>
      <c r="E1360" s="72"/>
      <c r="F1360" s="72"/>
      <c r="G1360" s="72"/>
      <c r="H1360" s="72"/>
      <c r="I1360" s="72"/>
      <c r="J1360" s="72"/>
    </row>
    <row r="1361" spans="1:10" ht="15" x14ac:dyDescent="0.2">
      <c r="A1361" s="72"/>
      <c r="B1361" s="72"/>
      <c r="C1361" s="72"/>
      <c r="D1361" s="72"/>
      <c r="E1361" s="72"/>
      <c r="F1361" s="72"/>
      <c r="G1361" s="72"/>
      <c r="H1361" s="72"/>
      <c r="I1361" s="72"/>
      <c r="J1361" s="72"/>
    </row>
    <row r="1362" spans="1:10" ht="15" x14ac:dyDescent="0.2">
      <c r="A1362" s="72"/>
      <c r="B1362" s="72"/>
      <c r="C1362" s="72"/>
      <c r="D1362" s="72"/>
      <c r="E1362" s="72"/>
      <c r="F1362" s="72"/>
      <c r="G1362" s="72"/>
      <c r="H1362" s="72"/>
      <c r="I1362" s="72"/>
      <c r="J1362" s="72"/>
    </row>
    <row r="1363" spans="1:10" ht="15" x14ac:dyDescent="0.2">
      <c r="A1363" s="72"/>
      <c r="B1363" s="72"/>
      <c r="C1363" s="72"/>
      <c r="D1363" s="72"/>
      <c r="E1363" s="72"/>
      <c r="F1363" s="72"/>
      <c r="G1363" s="72"/>
      <c r="H1363" s="72"/>
      <c r="I1363" s="72"/>
      <c r="J1363" s="72"/>
    </row>
    <row r="1364" spans="1:10" ht="15" x14ac:dyDescent="0.2">
      <c r="A1364" s="72"/>
      <c r="B1364" s="72"/>
      <c r="C1364" s="72"/>
      <c r="D1364" s="72"/>
      <c r="E1364" s="72"/>
      <c r="F1364" s="72"/>
      <c r="G1364" s="72"/>
      <c r="H1364" s="72"/>
      <c r="I1364" s="72"/>
      <c r="J1364" s="72"/>
    </row>
    <row r="1365" spans="1:10" ht="15" x14ac:dyDescent="0.2">
      <c r="A1365" s="72"/>
      <c r="B1365" s="72"/>
      <c r="C1365" s="72"/>
      <c r="D1365" s="72"/>
      <c r="E1365" s="72"/>
      <c r="F1365" s="72"/>
      <c r="G1365" s="72"/>
      <c r="H1365" s="72"/>
      <c r="I1365" s="72"/>
      <c r="J1365" s="72"/>
    </row>
    <row r="1366" spans="1:10" ht="15" x14ac:dyDescent="0.2">
      <c r="A1366" s="72"/>
      <c r="B1366" s="72"/>
      <c r="C1366" s="72"/>
      <c r="D1366" s="72"/>
      <c r="E1366" s="72"/>
      <c r="F1366" s="72"/>
      <c r="G1366" s="72"/>
      <c r="H1366" s="72"/>
      <c r="I1366" s="72"/>
      <c r="J1366" s="72"/>
    </row>
    <row r="1367" spans="1:10" ht="15" x14ac:dyDescent="0.2">
      <c r="A1367" s="72"/>
      <c r="B1367" s="72"/>
      <c r="C1367" s="72"/>
      <c r="D1367" s="72"/>
      <c r="E1367" s="72"/>
      <c r="F1367" s="72"/>
      <c r="G1367" s="72"/>
      <c r="H1367" s="72"/>
      <c r="I1367" s="72"/>
      <c r="J1367" s="72"/>
    </row>
    <row r="1368" spans="1:10" ht="15" x14ac:dyDescent="0.2">
      <c r="A1368" s="72"/>
      <c r="B1368" s="72"/>
      <c r="C1368" s="72"/>
      <c r="D1368" s="72"/>
      <c r="E1368" s="72"/>
      <c r="F1368" s="72"/>
      <c r="G1368" s="72"/>
      <c r="H1368" s="72"/>
      <c r="I1368" s="72"/>
      <c r="J1368" s="72"/>
    </row>
    <row r="1369" spans="1:10" ht="15" x14ac:dyDescent="0.2">
      <c r="A1369" s="72"/>
      <c r="B1369" s="72"/>
      <c r="C1369" s="72"/>
      <c r="D1369" s="72"/>
      <c r="E1369" s="72"/>
      <c r="F1369" s="72"/>
      <c r="G1369" s="72"/>
      <c r="H1369" s="72"/>
      <c r="I1369" s="72"/>
      <c r="J1369" s="72"/>
    </row>
    <row r="1370" spans="1:10" ht="15" x14ac:dyDescent="0.2">
      <c r="A1370" s="72"/>
      <c r="B1370" s="72"/>
      <c r="C1370" s="72"/>
      <c r="D1370" s="72"/>
      <c r="E1370" s="72"/>
      <c r="F1370" s="72"/>
      <c r="G1370" s="72"/>
      <c r="H1370" s="72"/>
      <c r="I1370" s="72"/>
      <c r="J1370" s="72"/>
    </row>
    <row r="1371" spans="1:10" ht="15" x14ac:dyDescent="0.2">
      <c r="A1371" s="72"/>
      <c r="B1371" s="72"/>
      <c r="C1371" s="72"/>
      <c r="D1371" s="72"/>
      <c r="E1371" s="72"/>
      <c r="F1371" s="72"/>
      <c r="G1371" s="72"/>
      <c r="H1371" s="72"/>
      <c r="I1371" s="72"/>
      <c r="J1371" s="72"/>
    </row>
    <row r="1372" spans="1:10" ht="15" x14ac:dyDescent="0.2">
      <c r="A1372" s="72"/>
      <c r="B1372" s="72"/>
      <c r="C1372" s="72"/>
      <c r="D1372" s="72"/>
      <c r="E1372" s="72"/>
      <c r="F1372" s="72"/>
      <c r="G1372" s="72"/>
      <c r="H1372" s="72"/>
      <c r="I1372" s="72"/>
      <c r="J1372" s="72"/>
    </row>
    <row r="1373" spans="1:10" ht="15" x14ac:dyDescent="0.2">
      <c r="A1373" s="72"/>
      <c r="B1373" s="72"/>
      <c r="C1373" s="72"/>
      <c r="D1373" s="72"/>
      <c r="E1373" s="72"/>
      <c r="F1373" s="72"/>
      <c r="G1373" s="72"/>
      <c r="H1373" s="72"/>
      <c r="I1373" s="72"/>
      <c r="J1373" s="72"/>
    </row>
    <row r="1374" spans="1:10" ht="15" x14ac:dyDescent="0.2">
      <c r="A1374" s="72"/>
      <c r="B1374" s="72"/>
      <c r="C1374" s="72"/>
      <c r="D1374" s="72"/>
      <c r="E1374" s="72"/>
      <c r="F1374" s="72"/>
      <c r="G1374" s="72"/>
      <c r="H1374" s="72"/>
      <c r="I1374" s="72"/>
      <c r="J1374" s="72"/>
    </row>
    <row r="1375" spans="1:10" ht="15" x14ac:dyDescent="0.2">
      <c r="A1375" s="72"/>
      <c r="B1375" s="72"/>
      <c r="C1375" s="72"/>
      <c r="D1375" s="72"/>
      <c r="E1375" s="72"/>
      <c r="F1375" s="72"/>
      <c r="G1375" s="72"/>
      <c r="H1375" s="72"/>
      <c r="I1375" s="72"/>
      <c r="J1375" s="72"/>
    </row>
    <row r="1376" spans="1:10" ht="15" x14ac:dyDescent="0.2">
      <c r="A1376" s="72"/>
      <c r="B1376" s="72"/>
      <c r="C1376" s="72"/>
      <c r="D1376" s="72"/>
      <c r="E1376" s="72"/>
      <c r="F1376" s="72"/>
      <c r="G1376" s="72"/>
      <c r="H1376" s="72"/>
      <c r="I1376" s="72"/>
      <c r="J1376" s="72"/>
    </row>
    <row r="1377" spans="1:10" ht="15" x14ac:dyDescent="0.2">
      <c r="A1377" s="72"/>
      <c r="B1377" s="72"/>
      <c r="C1377" s="72"/>
      <c r="D1377" s="72"/>
      <c r="E1377" s="72"/>
      <c r="F1377" s="72"/>
      <c r="G1377" s="72"/>
      <c r="H1377" s="72"/>
      <c r="I1377" s="72"/>
      <c r="J1377" s="72"/>
    </row>
    <row r="1378" spans="1:10" ht="15" x14ac:dyDescent="0.2">
      <c r="A1378" s="72"/>
      <c r="B1378" s="72"/>
      <c r="C1378" s="72"/>
      <c r="D1378" s="72"/>
      <c r="E1378" s="72"/>
      <c r="F1378" s="72"/>
      <c r="G1378" s="72"/>
      <c r="H1378" s="72"/>
      <c r="I1378" s="72"/>
      <c r="J1378" s="72"/>
    </row>
    <row r="1379" spans="1:10" ht="15" x14ac:dyDescent="0.2">
      <c r="A1379" s="72"/>
      <c r="B1379" s="72"/>
      <c r="C1379" s="72"/>
      <c r="D1379" s="72"/>
      <c r="E1379" s="72"/>
      <c r="F1379" s="72"/>
      <c r="G1379" s="72"/>
      <c r="H1379" s="72"/>
      <c r="I1379" s="72"/>
      <c r="J1379" s="72"/>
    </row>
    <row r="1380" spans="1:10" ht="15" x14ac:dyDescent="0.2">
      <c r="A1380" s="72"/>
      <c r="B1380" s="72"/>
      <c r="C1380" s="72"/>
      <c r="D1380" s="72"/>
      <c r="E1380" s="72"/>
      <c r="F1380" s="72"/>
      <c r="G1380" s="72"/>
      <c r="H1380" s="72"/>
      <c r="I1380" s="72"/>
      <c r="J1380" s="72"/>
    </row>
    <row r="1381" spans="1:10" ht="15" x14ac:dyDescent="0.2">
      <c r="A1381" s="72"/>
      <c r="B1381" s="72"/>
      <c r="C1381" s="72"/>
      <c r="D1381" s="72"/>
      <c r="E1381" s="72"/>
      <c r="F1381" s="72"/>
      <c r="G1381" s="72"/>
      <c r="H1381" s="72"/>
      <c r="I1381" s="72"/>
      <c r="J1381" s="72"/>
    </row>
    <row r="1382" spans="1:10" ht="15" x14ac:dyDescent="0.2">
      <c r="A1382" s="72"/>
      <c r="B1382" s="72"/>
      <c r="C1382" s="72"/>
      <c r="D1382" s="72"/>
      <c r="E1382" s="72"/>
      <c r="F1382" s="72"/>
      <c r="G1382" s="72"/>
      <c r="H1382" s="72"/>
      <c r="I1382" s="72"/>
      <c r="J1382" s="72"/>
    </row>
    <row r="1383" spans="1:10" ht="15" x14ac:dyDescent="0.2">
      <c r="A1383" s="72"/>
      <c r="B1383" s="72"/>
      <c r="C1383" s="72"/>
      <c r="D1383" s="72"/>
      <c r="E1383" s="72"/>
      <c r="F1383" s="72"/>
      <c r="G1383" s="72"/>
      <c r="H1383" s="72"/>
      <c r="I1383" s="72"/>
      <c r="J1383" s="72"/>
    </row>
    <row r="1384" spans="1:10" ht="15" x14ac:dyDescent="0.2">
      <c r="A1384" s="72"/>
      <c r="B1384" s="72"/>
      <c r="C1384" s="72"/>
      <c r="D1384" s="72"/>
      <c r="E1384" s="72"/>
      <c r="F1384" s="72"/>
      <c r="G1384" s="72"/>
      <c r="H1384" s="72"/>
      <c r="I1384" s="72"/>
      <c r="J1384" s="72"/>
    </row>
    <row r="1385" spans="1:10" ht="15" x14ac:dyDescent="0.2">
      <c r="A1385" s="72"/>
      <c r="B1385" s="72"/>
      <c r="C1385" s="72"/>
      <c r="D1385" s="72"/>
      <c r="E1385" s="72"/>
      <c r="F1385" s="72"/>
      <c r="G1385" s="72"/>
      <c r="H1385" s="72"/>
      <c r="I1385" s="72"/>
      <c r="J1385" s="72"/>
    </row>
    <row r="1386" spans="1:10" ht="15" x14ac:dyDescent="0.2">
      <c r="A1386" s="72"/>
      <c r="B1386" s="72"/>
      <c r="C1386" s="72"/>
      <c r="D1386" s="72"/>
      <c r="E1386" s="72"/>
      <c r="F1386" s="72"/>
      <c r="G1386" s="72"/>
      <c r="H1386" s="72"/>
      <c r="I1386" s="72"/>
      <c r="J1386" s="72"/>
    </row>
    <row r="1387" spans="1:10" ht="15" x14ac:dyDescent="0.2">
      <c r="A1387" s="72"/>
      <c r="B1387" s="72"/>
      <c r="C1387" s="72"/>
      <c r="D1387" s="72"/>
      <c r="E1387" s="72"/>
      <c r="F1387" s="72"/>
      <c r="G1387" s="72"/>
      <c r="H1387" s="72"/>
      <c r="I1387" s="72"/>
      <c r="J1387" s="72"/>
    </row>
    <row r="1388" spans="1:10" ht="15" x14ac:dyDescent="0.2">
      <c r="A1388" s="72"/>
      <c r="B1388" s="72"/>
      <c r="C1388" s="72"/>
      <c r="D1388" s="72"/>
      <c r="E1388" s="72"/>
      <c r="F1388" s="72"/>
      <c r="G1388" s="72"/>
      <c r="H1388" s="72"/>
      <c r="I1388" s="72"/>
      <c r="J1388" s="72"/>
    </row>
    <row r="1389" spans="1:10" ht="15" x14ac:dyDescent="0.2">
      <c r="A1389" s="72"/>
      <c r="B1389" s="72"/>
      <c r="C1389" s="72"/>
      <c r="D1389" s="72"/>
      <c r="E1389" s="72"/>
      <c r="F1389" s="72"/>
      <c r="G1389" s="72"/>
      <c r="H1389" s="72"/>
      <c r="I1389" s="72"/>
      <c r="J1389" s="72"/>
    </row>
    <row r="1390" spans="1:10" ht="15" x14ac:dyDescent="0.2">
      <c r="A1390" s="72"/>
      <c r="B1390" s="72"/>
      <c r="C1390" s="72"/>
      <c r="D1390" s="72"/>
      <c r="E1390" s="72"/>
      <c r="F1390" s="72"/>
      <c r="G1390" s="72"/>
      <c r="H1390" s="72"/>
      <c r="I1390" s="72"/>
      <c r="J1390" s="72"/>
    </row>
    <row r="1391" spans="1:10" ht="15" x14ac:dyDescent="0.2">
      <c r="A1391" s="72"/>
      <c r="B1391" s="72"/>
      <c r="C1391" s="72"/>
      <c r="D1391" s="72"/>
      <c r="E1391" s="72"/>
      <c r="F1391" s="72"/>
      <c r="G1391" s="72"/>
      <c r="H1391" s="72"/>
      <c r="I1391" s="72"/>
      <c r="J1391" s="72"/>
    </row>
    <row r="1392" spans="1:10" ht="15" x14ac:dyDescent="0.2">
      <c r="A1392" s="72"/>
      <c r="B1392" s="72"/>
      <c r="C1392" s="72"/>
      <c r="D1392" s="72"/>
      <c r="E1392" s="72"/>
      <c r="F1392" s="72"/>
      <c r="G1392" s="72"/>
      <c r="H1392" s="72"/>
      <c r="I1392" s="72"/>
      <c r="J1392" s="72"/>
    </row>
    <row r="1393" spans="1:10" ht="15" x14ac:dyDescent="0.2">
      <c r="A1393" s="72"/>
      <c r="B1393" s="72"/>
      <c r="C1393" s="72"/>
      <c r="D1393" s="72"/>
      <c r="E1393" s="72"/>
      <c r="F1393" s="72"/>
      <c r="G1393" s="72"/>
      <c r="H1393" s="72"/>
      <c r="I1393" s="72"/>
      <c r="J1393" s="72"/>
    </row>
    <row r="1394" spans="1:10" ht="15" x14ac:dyDescent="0.2">
      <c r="A1394" s="72"/>
      <c r="B1394" s="72"/>
      <c r="C1394" s="72"/>
      <c r="D1394" s="72"/>
      <c r="E1394" s="72"/>
      <c r="F1394" s="72"/>
      <c r="G1394" s="72"/>
      <c r="H1394" s="72"/>
      <c r="I1394" s="72"/>
      <c r="J1394" s="72"/>
    </row>
    <row r="1395" spans="1:10" ht="15" x14ac:dyDescent="0.2">
      <c r="A1395" s="72"/>
      <c r="B1395" s="72"/>
      <c r="C1395" s="72"/>
      <c r="D1395" s="72"/>
      <c r="E1395" s="72"/>
      <c r="F1395" s="72"/>
      <c r="G1395" s="72"/>
      <c r="H1395" s="72"/>
      <c r="I1395" s="72"/>
      <c r="J1395" s="72"/>
    </row>
    <row r="1396" spans="1:10" ht="15" x14ac:dyDescent="0.2">
      <c r="A1396" s="72"/>
      <c r="B1396" s="72"/>
      <c r="C1396" s="72"/>
      <c r="D1396" s="72"/>
      <c r="E1396" s="72"/>
      <c r="F1396" s="72"/>
      <c r="G1396" s="72"/>
      <c r="H1396" s="72"/>
      <c r="I1396" s="72"/>
      <c r="J1396" s="72"/>
    </row>
    <row r="1397" spans="1:10" ht="15" x14ac:dyDescent="0.2">
      <c r="A1397" s="72"/>
      <c r="B1397" s="72"/>
      <c r="C1397" s="72"/>
      <c r="D1397" s="72"/>
      <c r="E1397" s="72"/>
      <c r="F1397" s="72"/>
      <c r="G1397" s="72"/>
      <c r="H1397" s="72"/>
      <c r="I1397" s="72"/>
      <c r="J1397" s="72"/>
    </row>
    <row r="1398" spans="1:10" ht="15" x14ac:dyDescent="0.2">
      <c r="A1398" s="72"/>
      <c r="B1398" s="72"/>
      <c r="C1398" s="72"/>
      <c r="D1398" s="72"/>
      <c r="E1398" s="72"/>
      <c r="F1398" s="72"/>
      <c r="G1398" s="72"/>
      <c r="H1398" s="72"/>
      <c r="I1398" s="72"/>
      <c r="J1398" s="72"/>
    </row>
    <row r="1399" spans="1:10" ht="15" x14ac:dyDescent="0.2">
      <c r="A1399" s="72"/>
      <c r="B1399" s="72"/>
      <c r="C1399" s="72"/>
      <c r="D1399" s="72"/>
      <c r="E1399" s="72"/>
      <c r="F1399" s="72"/>
      <c r="G1399" s="72"/>
      <c r="H1399" s="72"/>
      <c r="I1399" s="72"/>
      <c r="J1399" s="72"/>
    </row>
    <row r="1400" spans="1:10" ht="15" x14ac:dyDescent="0.2">
      <c r="A1400" s="72"/>
      <c r="B1400" s="72"/>
      <c r="C1400" s="72"/>
      <c r="D1400" s="72"/>
      <c r="E1400" s="72"/>
      <c r="F1400" s="72"/>
      <c r="G1400" s="72"/>
      <c r="H1400" s="72"/>
      <c r="I1400" s="72"/>
      <c r="J1400" s="72"/>
    </row>
    <row r="1401" spans="1:10" ht="15" x14ac:dyDescent="0.2">
      <c r="A1401" s="72"/>
      <c r="B1401" s="72"/>
      <c r="C1401" s="72"/>
      <c r="D1401" s="72"/>
      <c r="E1401" s="72"/>
      <c r="F1401" s="72"/>
      <c r="G1401" s="72"/>
      <c r="H1401" s="72"/>
      <c r="I1401" s="72"/>
      <c r="J1401" s="72"/>
    </row>
    <row r="1402" spans="1:10" ht="15" x14ac:dyDescent="0.2">
      <c r="A1402" s="72"/>
      <c r="B1402" s="72"/>
      <c r="C1402" s="72"/>
      <c r="D1402" s="72"/>
      <c r="E1402" s="72"/>
      <c r="F1402" s="72"/>
      <c r="G1402" s="72"/>
      <c r="H1402" s="72"/>
      <c r="I1402" s="72"/>
      <c r="J1402" s="72"/>
    </row>
    <row r="1403" spans="1:10" ht="15" x14ac:dyDescent="0.2">
      <c r="A1403" s="72"/>
      <c r="B1403" s="72"/>
      <c r="C1403" s="72"/>
      <c r="D1403" s="72"/>
      <c r="E1403" s="72"/>
      <c r="F1403" s="72"/>
      <c r="G1403" s="72"/>
      <c r="H1403" s="72"/>
      <c r="I1403" s="72"/>
      <c r="J1403" s="72"/>
    </row>
    <row r="1404" spans="1:10" ht="15" x14ac:dyDescent="0.2">
      <c r="A1404" s="72"/>
      <c r="B1404" s="72"/>
      <c r="C1404" s="72"/>
      <c r="D1404" s="72"/>
      <c r="E1404" s="72"/>
      <c r="F1404" s="72"/>
      <c r="G1404" s="72"/>
      <c r="H1404" s="72"/>
      <c r="I1404" s="72"/>
      <c r="J1404" s="72"/>
    </row>
    <row r="1405" spans="1:10" ht="15" x14ac:dyDescent="0.2">
      <c r="A1405" s="72"/>
      <c r="B1405" s="72"/>
      <c r="C1405" s="72"/>
      <c r="D1405" s="72"/>
      <c r="E1405" s="72"/>
      <c r="F1405" s="72"/>
      <c r="G1405" s="72"/>
      <c r="H1405" s="72"/>
      <c r="I1405" s="72"/>
      <c r="J1405" s="72"/>
    </row>
    <row r="1406" spans="1:10" ht="15" x14ac:dyDescent="0.2">
      <c r="A1406" s="72"/>
      <c r="B1406" s="72"/>
      <c r="C1406" s="72"/>
      <c r="D1406" s="72"/>
      <c r="E1406" s="72"/>
      <c r="F1406" s="72"/>
      <c r="G1406" s="72"/>
      <c r="H1406" s="72"/>
      <c r="I1406" s="72"/>
      <c r="J1406" s="72"/>
    </row>
    <row r="1407" spans="1:10" ht="15" x14ac:dyDescent="0.2">
      <c r="A1407" s="72"/>
      <c r="B1407" s="72"/>
      <c r="C1407" s="72"/>
      <c r="D1407" s="72"/>
      <c r="E1407" s="72"/>
      <c r="F1407" s="72"/>
      <c r="G1407" s="72"/>
      <c r="H1407" s="72"/>
      <c r="I1407" s="72"/>
      <c r="J1407" s="72"/>
    </row>
    <row r="1408" spans="1:10" ht="15" x14ac:dyDescent="0.2">
      <c r="A1408" s="72"/>
      <c r="B1408" s="72"/>
      <c r="C1408" s="72"/>
      <c r="D1408" s="72"/>
      <c r="E1408" s="72"/>
      <c r="F1408" s="72"/>
      <c r="G1408" s="72"/>
      <c r="H1408" s="72"/>
      <c r="I1408" s="72"/>
      <c r="J1408" s="72"/>
    </row>
    <row r="1409" spans="1:10" ht="15" x14ac:dyDescent="0.2">
      <c r="A1409" s="72"/>
      <c r="B1409" s="72"/>
      <c r="C1409" s="72"/>
      <c r="D1409" s="72"/>
      <c r="E1409" s="72"/>
      <c r="F1409" s="72"/>
      <c r="G1409" s="72"/>
      <c r="H1409" s="72"/>
      <c r="I1409" s="72"/>
      <c r="J1409" s="72"/>
    </row>
    <row r="1410" spans="1:10" ht="15" x14ac:dyDescent="0.2">
      <c r="A1410" s="72"/>
      <c r="B1410" s="72"/>
      <c r="C1410" s="72"/>
      <c r="D1410" s="72"/>
      <c r="E1410" s="72"/>
      <c r="F1410" s="72"/>
      <c r="G1410" s="72"/>
      <c r="H1410" s="72"/>
      <c r="I1410" s="72"/>
      <c r="J1410" s="72"/>
    </row>
    <row r="1411" spans="1:10" ht="15" x14ac:dyDescent="0.2">
      <c r="A1411" s="72"/>
      <c r="B1411" s="72"/>
      <c r="C1411" s="72"/>
      <c r="D1411" s="72"/>
      <c r="E1411" s="72"/>
      <c r="F1411" s="72"/>
      <c r="G1411" s="72"/>
      <c r="H1411" s="72"/>
      <c r="I1411" s="72"/>
      <c r="J1411" s="72"/>
    </row>
    <row r="1412" spans="1:10" ht="15" x14ac:dyDescent="0.2">
      <c r="A1412" s="72"/>
      <c r="B1412" s="72"/>
      <c r="C1412" s="72"/>
      <c r="D1412" s="72"/>
      <c r="E1412" s="72"/>
      <c r="F1412" s="72"/>
      <c r="G1412" s="72"/>
      <c r="H1412" s="72"/>
      <c r="I1412" s="72"/>
      <c r="J1412" s="72"/>
    </row>
    <row r="1413" spans="1:10" ht="15" x14ac:dyDescent="0.2">
      <c r="A1413" s="72"/>
      <c r="B1413" s="72"/>
      <c r="C1413" s="72"/>
      <c r="D1413" s="72"/>
      <c r="E1413" s="72"/>
      <c r="F1413" s="72"/>
      <c r="G1413" s="72"/>
      <c r="H1413" s="72"/>
      <c r="I1413" s="72"/>
      <c r="J1413" s="72"/>
    </row>
    <row r="1414" spans="1:10" ht="15" x14ac:dyDescent="0.2">
      <c r="A1414" s="72"/>
      <c r="B1414" s="72"/>
      <c r="C1414" s="72"/>
      <c r="D1414" s="72"/>
      <c r="E1414" s="72"/>
      <c r="F1414" s="72"/>
      <c r="G1414" s="72"/>
      <c r="H1414" s="72"/>
      <c r="I1414" s="72"/>
      <c r="J1414" s="72"/>
    </row>
    <row r="1415" spans="1:10" ht="15" x14ac:dyDescent="0.2">
      <c r="A1415" s="72"/>
      <c r="B1415" s="72"/>
      <c r="C1415" s="72"/>
      <c r="D1415" s="72"/>
      <c r="E1415" s="72"/>
      <c r="F1415" s="72"/>
      <c r="G1415" s="72"/>
      <c r="H1415" s="72"/>
      <c r="I1415" s="72"/>
      <c r="J1415" s="72"/>
    </row>
    <row r="1416" spans="1:10" ht="15" x14ac:dyDescent="0.2">
      <c r="A1416" s="72"/>
      <c r="B1416" s="72"/>
      <c r="C1416" s="72"/>
      <c r="D1416" s="72"/>
      <c r="E1416" s="72"/>
      <c r="F1416" s="72"/>
      <c r="G1416" s="72"/>
      <c r="H1416" s="72"/>
      <c r="I1416" s="72"/>
      <c r="J1416" s="72"/>
    </row>
    <row r="1417" spans="1:10" ht="15" x14ac:dyDescent="0.2">
      <c r="A1417" s="72"/>
      <c r="B1417" s="72"/>
      <c r="C1417" s="72"/>
      <c r="D1417" s="72"/>
      <c r="E1417" s="72"/>
      <c r="F1417" s="72"/>
      <c r="G1417" s="72"/>
      <c r="H1417" s="72"/>
      <c r="I1417" s="72"/>
      <c r="J1417" s="72"/>
    </row>
    <row r="1418" spans="1:10" ht="15" x14ac:dyDescent="0.2">
      <c r="A1418" s="72"/>
      <c r="B1418" s="72"/>
      <c r="C1418" s="72"/>
      <c r="D1418" s="72"/>
      <c r="E1418" s="72"/>
      <c r="F1418" s="72"/>
      <c r="G1418" s="72"/>
      <c r="H1418" s="72"/>
      <c r="I1418" s="72"/>
      <c r="J1418" s="72"/>
    </row>
    <row r="1419" spans="1:10" ht="15" x14ac:dyDescent="0.2">
      <c r="A1419" s="72"/>
      <c r="B1419" s="72"/>
      <c r="C1419" s="72"/>
      <c r="D1419" s="72"/>
      <c r="E1419" s="72"/>
      <c r="F1419" s="72"/>
      <c r="G1419" s="72"/>
      <c r="H1419" s="72"/>
      <c r="I1419" s="72"/>
      <c r="J1419" s="72"/>
    </row>
    <row r="1420" spans="1:10" ht="15" x14ac:dyDescent="0.2">
      <c r="A1420" s="72"/>
      <c r="B1420" s="72"/>
      <c r="C1420" s="72"/>
      <c r="D1420" s="72"/>
      <c r="E1420" s="72"/>
      <c r="F1420" s="72"/>
      <c r="G1420" s="72"/>
      <c r="H1420" s="72"/>
      <c r="I1420" s="72"/>
      <c r="J1420" s="72"/>
    </row>
    <row r="1421" spans="1:10" ht="15" x14ac:dyDescent="0.2">
      <c r="A1421" s="72"/>
      <c r="B1421" s="72"/>
      <c r="C1421" s="72"/>
      <c r="D1421" s="72"/>
      <c r="E1421" s="72"/>
      <c r="F1421" s="72"/>
      <c r="G1421" s="72"/>
      <c r="H1421" s="72"/>
      <c r="I1421" s="72"/>
      <c r="J1421" s="72"/>
    </row>
    <row r="1422" spans="1:10" ht="15" x14ac:dyDescent="0.2">
      <c r="A1422" s="72"/>
      <c r="B1422" s="72"/>
      <c r="C1422" s="72"/>
      <c r="D1422" s="72"/>
      <c r="E1422" s="72"/>
      <c r="F1422" s="72"/>
      <c r="G1422" s="72"/>
      <c r="H1422" s="72"/>
      <c r="I1422" s="72"/>
      <c r="J1422" s="72"/>
    </row>
    <row r="1423" spans="1:10" ht="15" x14ac:dyDescent="0.2">
      <c r="A1423" s="72"/>
      <c r="B1423" s="72"/>
      <c r="C1423" s="72"/>
      <c r="D1423" s="72"/>
      <c r="E1423" s="72"/>
      <c r="F1423" s="72"/>
      <c r="G1423" s="72"/>
      <c r="H1423" s="72"/>
      <c r="I1423" s="72"/>
      <c r="J1423" s="72"/>
    </row>
    <row r="1424" spans="1:10" ht="15" x14ac:dyDescent="0.2">
      <c r="A1424" s="72"/>
      <c r="B1424" s="72"/>
      <c r="C1424" s="72"/>
      <c r="D1424" s="72"/>
      <c r="E1424" s="72"/>
      <c r="F1424" s="72"/>
      <c r="G1424" s="72"/>
      <c r="H1424" s="72"/>
      <c r="I1424" s="72"/>
      <c r="J1424" s="72"/>
    </row>
    <row r="1425" spans="1:10" ht="15" x14ac:dyDescent="0.2">
      <c r="A1425" s="72"/>
      <c r="B1425" s="72"/>
      <c r="C1425" s="72"/>
      <c r="D1425" s="72"/>
      <c r="E1425" s="72"/>
      <c r="F1425" s="72"/>
      <c r="G1425" s="72"/>
      <c r="H1425" s="72"/>
      <c r="I1425" s="72"/>
      <c r="J1425" s="72"/>
    </row>
    <row r="1426" spans="1:10" ht="15" x14ac:dyDescent="0.2">
      <c r="A1426" s="72"/>
      <c r="B1426" s="72"/>
      <c r="C1426" s="72"/>
      <c r="D1426" s="72"/>
      <c r="E1426" s="72"/>
      <c r="F1426" s="72"/>
      <c r="G1426" s="72"/>
      <c r="H1426" s="72"/>
      <c r="I1426" s="72"/>
      <c r="J1426" s="72"/>
    </row>
    <row r="1427" spans="1:10" ht="15" x14ac:dyDescent="0.2">
      <c r="A1427" s="72"/>
      <c r="B1427" s="72"/>
      <c r="C1427" s="72"/>
      <c r="D1427" s="72"/>
      <c r="E1427" s="72"/>
      <c r="F1427" s="72"/>
      <c r="G1427" s="72"/>
      <c r="H1427" s="72"/>
      <c r="I1427" s="72"/>
      <c r="J1427" s="72"/>
    </row>
    <row r="1428" spans="1:10" ht="15" x14ac:dyDescent="0.2">
      <c r="A1428" s="72"/>
      <c r="B1428" s="72"/>
      <c r="C1428" s="72"/>
      <c r="D1428" s="72"/>
      <c r="E1428" s="72"/>
      <c r="F1428" s="72"/>
      <c r="G1428" s="72"/>
      <c r="H1428" s="72"/>
      <c r="I1428" s="72"/>
      <c r="J1428" s="72"/>
    </row>
    <row r="1429" spans="1:10" ht="15" x14ac:dyDescent="0.2">
      <c r="A1429" s="72"/>
      <c r="B1429" s="72"/>
      <c r="C1429" s="72"/>
      <c r="D1429" s="72"/>
      <c r="E1429" s="72"/>
      <c r="F1429" s="72"/>
      <c r="G1429" s="72"/>
      <c r="H1429" s="72"/>
      <c r="I1429" s="72"/>
      <c r="J1429" s="72"/>
    </row>
    <row r="1430" spans="1:10" ht="15" x14ac:dyDescent="0.2">
      <c r="A1430" s="72"/>
      <c r="B1430" s="72"/>
      <c r="C1430" s="72"/>
      <c r="D1430" s="72"/>
      <c r="E1430" s="72"/>
      <c r="F1430" s="72"/>
      <c r="G1430" s="72"/>
      <c r="H1430" s="72"/>
      <c r="I1430" s="72"/>
      <c r="J1430" s="72"/>
    </row>
    <row r="1431" spans="1:10" ht="15" x14ac:dyDescent="0.2">
      <c r="A1431" s="72"/>
      <c r="B1431" s="72"/>
      <c r="C1431" s="72"/>
      <c r="D1431" s="72"/>
      <c r="E1431" s="72"/>
      <c r="F1431" s="72"/>
      <c r="G1431" s="72"/>
      <c r="H1431" s="72"/>
      <c r="I1431" s="72"/>
      <c r="J1431" s="72"/>
    </row>
    <row r="1432" spans="1:10" ht="15" x14ac:dyDescent="0.2">
      <c r="A1432" s="72"/>
      <c r="B1432" s="72"/>
      <c r="C1432" s="72"/>
      <c r="D1432" s="72"/>
      <c r="E1432" s="72"/>
      <c r="F1432" s="72"/>
      <c r="G1432" s="72"/>
      <c r="H1432" s="72"/>
      <c r="I1432" s="72"/>
      <c r="J1432" s="72"/>
    </row>
    <row r="1433" spans="1:10" ht="15" x14ac:dyDescent="0.2">
      <c r="A1433" s="72"/>
      <c r="B1433" s="72"/>
      <c r="C1433" s="72"/>
      <c r="D1433" s="72"/>
      <c r="E1433" s="72"/>
      <c r="F1433" s="72"/>
      <c r="G1433" s="72"/>
      <c r="H1433" s="72"/>
      <c r="I1433" s="72"/>
      <c r="J1433" s="72"/>
    </row>
    <row r="1434" spans="1:10" ht="15" x14ac:dyDescent="0.2">
      <c r="A1434" s="72"/>
      <c r="B1434" s="72"/>
      <c r="C1434" s="72"/>
      <c r="D1434" s="72"/>
      <c r="E1434" s="72"/>
      <c r="F1434" s="72"/>
      <c r="G1434" s="72"/>
      <c r="H1434" s="72"/>
      <c r="I1434" s="72"/>
      <c r="J1434" s="72"/>
    </row>
    <row r="1435" spans="1:10" ht="15" x14ac:dyDescent="0.2">
      <c r="A1435" s="72"/>
      <c r="B1435" s="72"/>
      <c r="C1435" s="72"/>
      <c r="D1435" s="72"/>
      <c r="E1435" s="72"/>
      <c r="F1435" s="72"/>
      <c r="G1435" s="72"/>
      <c r="H1435" s="72"/>
      <c r="I1435" s="72"/>
      <c r="J1435" s="72"/>
    </row>
    <row r="1436" spans="1:10" ht="15" x14ac:dyDescent="0.2">
      <c r="A1436" s="72"/>
      <c r="B1436" s="72"/>
      <c r="C1436" s="72"/>
      <c r="D1436" s="72"/>
      <c r="E1436" s="72"/>
      <c r="F1436" s="72"/>
      <c r="G1436" s="72"/>
      <c r="H1436" s="72"/>
      <c r="I1436" s="72"/>
      <c r="J1436" s="72"/>
    </row>
    <row r="1437" spans="1:10" ht="15" x14ac:dyDescent="0.2">
      <c r="A1437" s="72"/>
      <c r="B1437" s="72"/>
      <c r="C1437" s="72"/>
      <c r="D1437" s="72"/>
      <c r="E1437" s="72"/>
      <c r="F1437" s="72"/>
      <c r="G1437" s="72"/>
      <c r="H1437" s="72"/>
      <c r="I1437" s="72"/>
      <c r="J1437" s="72"/>
    </row>
    <row r="1438" spans="1:10" ht="15" x14ac:dyDescent="0.2">
      <c r="A1438" s="72"/>
      <c r="B1438" s="72"/>
      <c r="C1438" s="72"/>
      <c r="D1438" s="72"/>
      <c r="E1438" s="72"/>
      <c r="F1438" s="72"/>
      <c r="G1438" s="72"/>
      <c r="H1438" s="72"/>
      <c r="I1438" s="72"/>
      <c r="J1438" s="72"/>
    </row>
    <row r="1439" spans="1:10" ht="15" x14ac:dyDescent="0.2">
      <c r="A1439" s="72"/>
      <c r="B1439" s="72"/>
      <c r="C1439" s="72"/>
      <c r="D1439" s="72"/>
      <c r="E1439" s="72"/>
      <c r="F1439" s="72"/>
      <c r="G1439" s="72"/>
      <c r="H1439" s="72"/>
      <c r="I1439" s="72"/>
      <c r="J1439" s="72"/>
    </row>
    <row r="1440" spans="1:10" ht="15" x14ac:dyDescent="0.2">
      <c r="A1440" s="72"/>
      <c r="B1440" s="72"/>
      <c r="C1440" s="72"/>
      <c r="D1440" s="72"/>
      <c r="E1440" s="72"/>
      <c r="F1440" s="72"/>
      <c r="G1440" s="72"/>
      <c r="H1440" s="72"/>
      <c r="I1440" s="72"/>
      <c r="J1440" s="72"/>
    </row>
    <row r="1441" spans="1:10" ht="15" x14ac:dyDescent="0.2">
      <c r="A1441" s="72"/>
      <c r="B1441" s="72"/>
      <c r="C1441" s="72"/>
      <c r="D1441" s="72"/>
      <c r="E1441" s="72"/>
      <c r="F1441" s="72"/>
      <c r="G1441" s="72"/>
      <c r="H1441" s="72"/>
      <c r="I1441" s="72"/>
      <c r="J1441" s="72"/>
    </row>
    <row r="1442" spans="1:10" ht="15" x14ac:dyDescent="0.2">
      <c r="A1442" s="72"/>
      <c r="B1442" s="72"/>
      <c r="C1442" s="72"/>
      <c r="D1442" s="72"/>
      <c r="E1442" s="72"/>
      <c r="F1442" s="72"/>
      <c r="G1442" s="72"/>
      <c r="H1442" s="72"/>
      <c r="I1442" s="72"/>
      <c r="J1442" s="72"/>
    </row>
    <row r="1443" spans="1:10" ht="15" x14ac:dyDescent="0.2">
      <c r="A1443" s="72"/>
      <c r="B1443" s="72"/>
      <c r="C1443" s="72"/>
      <c r="D1443" s="72"/>
      <c r="E1443" s="72"/>
      <c r="F1443" s="72"/>
      <c r="G1443" s="72"/>
      <c r="H1443" s="72"/>
      <c r="I1443" s="72"/>
      <c r="J1443" s="72"/>
    </row>
    <row r="1444" spans="1:10" ht="15" x14ac:dyDescent="0.2">
      <c r="A1444" s="72"/>
      <c r="B1444" s="72"/>
      <c r="C1444" s="72"/>
      <c r="D1444" s="72"/>
      <c r="E1444" s="72"/>
      <c r="F1444" s="72"/>
      <c r="G1444" s="72"/>
      <c r="H1444" s="72"/>
      <c r="I1444" s="72"/>
      <c r="J1444" s="72"/>
    </row>
    <row r="1445" spans="1:10" ht="15" x14ac:dyDescent="0.2">
      <c r="A1445" s="72"/>
      <c r="B1445" s="72"/>
      <c r="C1445" s="72"/>
      <c r="D1445" s="72"/>
      <c r="E1445" s="72"/>
      <c r="F1445" s="72"/>
      <c r="G1445" s="72"/>
      <c r="H1445" s="72"/>
      <c r="I1445" s="72"/>
      <c r="J1445" s="72"/>
    </row>
    <row r="1446" spans="1:10" ht="15" x14ac:dyDescent="0.2">
      <c r="A1446" s="72"/>
      <c r="B1446" s="72"/>
      <c r="C1446" s="72"/>
      <c r="D1446" s="72"/>
      <c r="E1446" s="72"/>
      <c r="F1446" s="72"/>
      <c r="G1446" s="72"/>
      <c r="H1446" s="72"/>
      <c r="I1446" s="72"/>
      <c r="J1446" s="72"/>
    </row>
    <row r="1447" spans="1:10" ht="15" x14ac:dyDescent="0.2">
      <c r="A1447" s="72"/>
      <c r="B1447" s="72"/>
      <c r="C1447" s="72"/>
      <c r="D1447" s="72"/>
      <c r="E1447" s="72"/>
      <c r="F1447" s="72"/>
      <c r="G1447" s="72"/>
      <c r="H1447" s="72"/>
      <c r="I1447" s="72"/>
      <c r="J1447" s="72"/>
    </row>
    <row r="1448" spans="1:10" ht="15" x14ac:dyDescent="0.2">
      <c r="A1448" s="72"/>
      <c r="B1448" s="72"/>
      <c r="C1448" s="72"/>
      <c r="D1448" s="72"/>
      <c r="E1448" s="72"/>
      <c r="F1448" s="72"/>
      <c r="G1448" s="72"/>
      <c r="H1448" s="72"/>
      <c r="I1448" s="72"/>
      <c r="J1448" s="72"/>
    </row>
    <row r="1449" spans="1:10" ht="15" x14ac:dyDescent="0.2">
      <c r="A1449" s="72"/>
      <c r="B1449" s="72"/>
      <c r="C1449" s="72"/>
      <c r="D1449" s="72"/>
      <c r="E1449" s="72"/>
      <c r="F1449" s="72"/>
      <c r="G1449" s="72"/>
      <c r="H1449" s="72"/>
      <c r="I1449" s="72"/>
      <c r="J1449" s="72"/>
    </row>
    <row r="1450" spans="1:10" ht="15" x14ac:dyDescent="0.2">
      <c r="A1450" s="72"/>
      <c r="B1450" s="72"/>
      <c r="C1450" s="72"/>
      <c r="D1450" s="72"/>
      <c r="E1450" s="72"/>
      <c r="F1450" s="72"/>
      <c r="G1450" s="72"/>
      <c r="H1450" s="72"/>
      <c r="I1450" s="72"/>
      <c r="J1450" s="72"/>
    </row>
    <row r="1451" spans="1:10" ht="15" x14ac:dyDescent="0.2">
      <c r="A1451" s="72"/>
      <c r="B1451" s="72"/>
      <c r="C1451" s="72"/>
      <c r="D1451" s="72"/>
      <c r="E1451" s="72"/>
      <c r="F1451" s="72"/>
      <c r="G1451" s="72"/>
      <c r="H1451" s="72"/>
      <c r="I1451" s="72"/>
      <c r="J1451" s="72"/>
    </row>
    <row r="1452" spans="1:10" ht="15" x14ac:dyDescent="0.2">
      <c r="A1452" s="72"/>
      <c r="B1452" s="72"/>
      <c r="C1452" s="72"/>
      <c r="D1452" s="72"/>
      <c r="E1452" s="72"/>
      <c r="F1452" s="72"/>
      <c r="G1452" s="72"/>
      <c r="H1452" s="72"/>
      <c r="I1452" s="72"/>
      <c r="J1452" s="72"/>
    </row>
    <row r="1453" spans="1:10" ht="15" x14ac:dyDescent="0.2">
      <c r="A1453" s="72"/>
      <c r="B1453" s="72"/>
      <c r="C1453" s="72"/>
      <c r="D1453" s="72"/>
      <c r="E1453" s="72"/>
      <c r="F1453" s="72"/>
      <c r="G1453" s="72"/>
      <c r="H1453" s="72"/>
      <c r="I1453" s="72"/>
      <c r="J1453" s="72"/>
    </row>
    <row r="1454" spans="1:10" ht="15" x14ac:dyDescent="0.2">
      <c r="A1454" s="72"/>
      <c r="B1454" s="72"/>
      <c r="C1454" s="72"/>
      <c r="D1454" s="72"/>
      <c r="E1454" s="72"/>
      <c r="F1454" s="72"/>
      <c r="G1454" s="72"/>
      <c r="H1454" s="72"/>
      <c r="I1454" s="72"/>
      <c r="J1454" s="72"/>
    </row>
    <row r="1455" spans="1:10" ht="15" x14ac:dyDescent="0.2">
      <c r="A1455" s="72"/>
      <c r="B1455" s="72"/>
      <c r="C1455" s="72"/>
      <c r="D1455" s="72"/>
      <c r="E1455" s="72"/>
      <c r="F1455" s="72"/>
      <c r="G1455" s="72"/>
      <c r="H1455" s="72"/>
      <c r="I1455" s="72"/>
      <c r="J1455" s="72"/>
    </row>
    <row r="1456" spans="1:10" ht="15" x14ac:dyDescent="0.2">
      <c r="A1456" s="72"/>
      <c r="B1456" s="72"/>
      <c r="C1456" s="72"/>
      <c r="D1456" s="72"/>
      <c r="E1456" s="72"/>
      <c r="F1456" s="72"/>
      <c r="G1456" s="72"/>
      <c r="H1456" s="72"/>
      <c r="I1456" s="72"/>
      <c r="J1456" s="72"/>
    </row>
    <row r="1457" spans="1:10" ht="15" x14ac:dyDescent="0.2">
      <c r="A1457" s="72"/>
      <c r="B1457" s="72"/>
      <c r="C1457" s="72"/>
      <c r="D1457" s="72"/>
      <c r="E1457" s="72"/>
      <c r="F1457" s="72"/>
      <c r="G1457" s="72"/>
      <c r="H1457" s="72"/>
      <c r="I1457" s="72"/>
      <c r="J1457" s="72"/>
    </row>
    <row r="1458" spans="1:10" ht="15" x14ac:dyDescent="0.2">
      <c r="A1458" s="72"/>
      <c r="B1458" s="72"/>
      <c r="C1458" s="72"/>
      <c r="D1458" s="72"/>
      <c r="E1458" s="72"/>
      <c r="F1458" s="72"/>
      <c r="G1458" s="72"/>
      <c r="H1458" s="72"/>
      <c r="I1458" s="72"/>
      <c r="J1458" s="72"/>
    </row>
    <row r="1459" spans="1:10" ht="15" x14ac:dyDescent="0.2">
      <c r="A1459" s="72"/>
      <c r="B1459" s="72"/>
      <c r="C1459" s="72"/>
      <c r="D1459" s="72"/>
      <c r="E1459" s="72"/>
      <c r="F1459" s="72"/>
      <c r="G1459" s="72"/>
      <c r="H1459" s="72"/>
      <c r="I1459" s="72"/>
      <c r="J1459" s="72"/>
    </row>
    <row r="1460" spans="1:10" ht="15" x14ac:dyDescent="0.2">
      <c r="A1460" s="72"/>
      <c r="B1460" s="72"/>
      <c r="C1460" s="72"/>
      <c r="D1460" s="72"/>
      <c r="E1460" s="72"/>
      <c r="F1460" s="72"/>
      <c r="G1460" s="72"/>
      <c r="H1460" s="72"/>
      <c r="I1460" s="72"/>
      <c r="J1460" s="72"/>
    </row>
    <row r="1461" spans="1:10" ht="15" x14ac:dyDescent="0.2">
      <c r="A1461" s="72"/>
      <c r="B1461" s="72"/>
      <c r="C1461" s="72"/>
      <c r="D1461" s="72"/>
      <c r="E1461" s="72"/>
      <c r="F1461" s="72"/>
      <c r="G1461" s="72"/>
      <c r="H1461" s="72"/>
      <c r="I1461" s="72"/>
      <c r="J1461" s="72"/>
    </row>
    <row r="1462" spans="1:10" ht="15" x14ac:dyDescent="0.2">
      <c r="A1462" s="72"/>
      <c r="B1462" s="72"/>
      <c r="C1462" s="72"/>
      <c r="D1462" s="72"/>
      <c r="E1462" s="72"/>
      <c r="F1462" s="72"/>
      <c r="G1462" s="72"/>
      <c r="H1462" s="72"/>
      <c r="I1462" s="72"/>
      <c r="J1462" s="72"/>
    </row>
    <row r="1463" spans="1:10" ht="15" x14ac:dyDescent="0.2">
      <c r="A1463" s="72"/>
      <c r="B1463" s="72"/>
      <c r="C1463" s="72"/>
      <c r="D1463" s="72"/>
      <c r="E1463" s="72"/>
      <c r="F1463" s="72"/>
      <c r="G1463" s="72"/>
      <c r="H1463" s="72"/>
      <c r="I1463" s="72"/>
      <c r="J1463" s="72"/>
    </row>
    <row r="1464" spans="1:10" ht="15" x14ac:dyDescent="0.2">
      <c r="A1464" s="72"/>
      <c r="B1464" s="72"/>
      <c r="C1464" s="72"/>
      <c r="D1464" s="72"/>
      <c r="E1464" s="72"/>
      <c r="F1464" s="72"/>
      <c r="G1464" s="72"/>
      <c r="H1464" s="72"/>
      <c r="I1464" s="72"/>
      <c r="J1464" s="72"/>
    </row>
    <row r="1465" spans="1:10" ht="15" x14ac:dyDescent="0.2">
      <c r="A1465" s="72"/>
      <c r="B1465" s="72"/>
      <c r="C1465" s="72"/>
      <c r="D1465" s="72"/>
      <c r="E1465" s="72"/>
      <c r="F1465" s="72"/>
      <c r="G1465" s="72"/>
      <c r="H1465" s="72"/>
      <c r="I1465" s="72"/>
      <c r="J1465" s="72"/>
    </row>
    <row r="1466" spans="1:10" ht="15" x14ac:dyDescent="0.2">
      <c r="A1466" s="72"/>
      <c r="B1466" s="72"/>
      <c r="C1466" s="72"/>
      <c r="D1466" s="72"/>
      <c r="E1466" s="72"/>
      <c r="F1466" s="72"/>
      <c r="G1466" s="72"/>
      <c r="H1466" s="72"/>
      <c r="I1466" s="72"/>
      <c r="J1466" s="72"/>
    </row>
    <row r="1467" spans="1:10" ht="15" x14ac:dyDescent="0.2">
      <c r="A1467" s="72"/>
      <c r="B1467" s="72"/>
      <c r="C1467" s="72"/>
      <c r="D1467" s="72"/>
      <c r="E1467" s="72"/>
      <c r="F1467" s="72"/>
      <c r="G1467" s="72"/>
      <c r="H1467" s="72"/>
      <c r="I1467" s="72"/>
      <c r="J1467" s="72"/>
    </row>
    <row r="1468" spans="1:10" ht="15" x14ac:dyDescent="0.2">
      <c r="A1468" s="72"/>
      <c r="B1468" s="72"/>
      <c r="C1468" s="72"/>
      <c r="D1468" s="72"/>
      <c r="E1468" s="72"/>
      <c r="F1468" s="72"/>
      <c r="G1468" s="72"/>
      <c r="H1468" s="72"/>
      <c r="I1468" s="72"/>
      <c r="J1468" s="72"/>
    </row>
    <row r="1469" spans="1:10" ht="15" x14ac:dyDescent="0.2">
      <c r="A1469" s="72"/>
      <c r="B1469" s="72"/>
      <c r="C1469" s="72"/>
      <c r="D1469" s="72"/>
      <c r="E1469" s="72"/>
      <c r="F1469" s="72"/>
      <c r="G1469" s="72"/>
      <c r="H1469" s="72"/>
      <c r="I1469" s="72"/>
      <c r="J1469" s="72"/>
    </row>
    <row r="1470" spans="1:10" ht="15" x14ac:dyDescent="0.2">
      <c r="A1470" s="72"/>
      <c r="B1470" s="72"/>
      <c r="C1470" s="72"/>
      <c r="D1470" s="72"/>
      <c r="E1470" s="72"/>
      <c r="F1470" s="72"/>
      <c r="G1470" s="72"/>
      <c r="H1470" s="72"/>
      <c r="I1470" s="72"/>
      <c r="J1470" s="72"/>
    </row>
    <row r="1471" spans="1:10" ht="15" x14ac:dyDescent="0.2">
      <c r="A1471" s="72"/>
      <c r="B1471" s="72"/>
      <c r="C1471" s="72"/>
      <c r="D1471" s="72"/>
      <c r="E1471" s="72"/>
      <c r="F1471" s="72"/>
      <c r="G1471" s="72"/>
      <c r="H1471" s="72"/>
      <c r="I1471" s="72"/>
      <c r="J1471" s="72"/>
    </row>
    <row r="1472" spans="1:10" ht="15" x14ac:dyDescent="0.2">
      <c r="A1472" s="72"/>
      <c r="B1472" s="72"/>
      <c r="C1472" s="72"/>
      <c r="D1472" s="72"/>
      <c r="E1472" s="72"/>
      <c r="F1472" s="72"/>
      <c r="G1472" s="72"/>
      <c r="H1472" s="72"/>
      <c r="I1472" s="72"/>
      <c r="J1472" s="72"/>
    </row>
    <row r="1473" spans="1:10" ht="15" x14ac:dyDescent="0.2">
      <c r="A1473" s="72"/>
      <c r="B1473" s="72"/>
      <c r="C1473" s="72"/>
      <c r="D1473" s="72"/>
      <c r="E1473" s="72"/>
      <c r="F1473" s="72"/>
      <c r="G1473" s="72"/>
      <c r="H1473" s="72"/>
      <c r="I1473" s="72"/>
      <c r="J1473" s="72"/>
    </row>
    <row r="1474" spans="1:10" ht="15" x14ac:dyDescent="0.2">
      <c r="A1474" s="72"/>
      <c r="B1474" s="72"/>
      <c r="C1474" s="72"/>
      <c r="D1474" s="72"/>
      <c r="E1474" s="72"/>
      <c r="F1474" s="72"/>
      <c r="G1474" s="72"/>
      <c r="H1474" s="72"/>
      <c r="I1474" s="72"/>
      <c r="J1474" s="72"/>
    </row>
    <row r="1475" spans="1:10" ht="15" x14ac:dyDescent="0.2">
      <c r="A1475" s="72"/>
      <c r="B1475" s="72"/>
      <c r="C1475" s="72"/>
      <c r="D1475" s="72"/>
      <c r="E1475" s="72"/>
      <c r="F1475" s="72"/>
      <c r="G1475" s="72"/>
      <c r="H1475" s="72"/>
      <c r="I1475" s="72"/>
      <c r="J1475" s="72"/>
    </row>
    <row r="1476" spans="1:10" ht="15" x14ac:dyDescent="0.2">
      <c r="A1476" s="72"/>
      <c r="B1476" s="72"/>
      <c r="C1476" s="72"/>
      <c r="D1476" s="72"/>
      <c r="E1476" s="72"/>
      <c r="F1476" s="72"/>
      <c r="G1476" s="72"/>
      <c r="H1476" s="72"/>
      <c r="I1476" s="72"/>
      <c r="J1476" s="72"/>
    </row>
    <row r="1477" spans="1:10" ht="15" x14ac:dyDescent="0.2">
      <c r="A1477" s="72"/>
      <c r="B1477" s="72"/>
      <c r="C1477" s="72"/>
      <c r="D1477" s="72"/>
      <c r="E1477" s="72"/>
      <c r="F1477" s="72"/>
      <c r="G1477" s="72"/>
      <c r="H1477" s="72"/>
      <c r="I1477" s="72"/>
      <c r="J1477" s="72"/>
    </row>
    <row r="1478" spans="1:10" ht="15" x14ac:dyDescent="0.2">
      <c r="A1478" s="72"/>
      <c r="B1478" s="72"/>
      <c r="C1478" s="72"/>
      <c r="D1478" s="72"/>
      <c r="E1478" s="72"/>
      <c r="F1478" s="72"/>
      <c r="G1478" s="72"/>
      <c r="H1478" s="72"/>
      <c r="I1478" s="72"/>
      <c r="J1478" s="72"/>
    </row>
    <row r="1479" spans="1:10" ht="15" x14ac:dyDescent="0.2">
      <c r="A1479" s="72"/>
      <c r="B1479" s="72"/>
      <c r="C1479" s="72"/>
      <c r="D1479" s="72"/>
      <c r="E1479" s="72"/>
      <c r="F1479" s="72"/>
      <c r="G1479" s="72"/>
      <c r="H1479" s="72"/>
      <c r="I1479" s="72"/>
      <c r="J1479" s="72"/>
    </row>
    <row r="1480" spans="1:10" ht="15" x14ac:dyDescent="0.2">
      <c r="A1480" s="72"/>
      <c r="B1480" s="72"/>
      <c r="C1480" s="72"/>
      <c r="D1480" s="72"/>
      <c r="E1480" s="72"/>
      <c r="F1480" s="72"/>
      <c r="G1480" s="72"/>
      <c r="H1480" s="72"/>
      <c r="I1480" s="72"/>
      <c r="J1480" s="72"/>
    </row>
    <row r="1481" spans="1:10" ht="15" x14ac:dyDescent="0.2">
      <c r="A1481" s="72"/>
      <c r="B1481" s="72"/>
      <c r="C1481" s="72"/>
      <c r="D1481" s="72"/>
      <c r="E1481" s="72"/>
      <c r="F1481" s="72"/>
      <c r="G1481" s="72"/>
      <c r="H1481" s="72"/>
      <c r="I1481" s="72"/>
      <c r="J1481" s="72"/>
    </row>
    <row r="1482" spans="1:10" ht="15" x14ac:dyDescent="0.2">
      <c r="A1482" s="72"/>
      <c r="B1482" s="72"/>
      <c r="C1482" s="72"/>
      <c r="D1482" s="72"/>
      <c r="E1482" s="72"/>
      <c r="F1482" s="72"/>
      <c r="G1482" s="72"/>
      <c r="H1482" s="72"/>
      <c r="I1482" s="72"/>
      <c r="J1482" s="72"/>
    </row>
    <row r="1483" spans="1:10" ht="15" x14ac:dyDescent="0.2">
      <c r="A1483" s="72"/>
      <c r="B1483" s="72"/>
      <c r="C1483" s="72"/>
      <c r="D1483" s="72"/>
      <c r="E1483" s="72"/>
      <c r="F1483" s="72"/>
      <c r="G1483" s="72"/>
      <c r="H1483" s="72"/>
      <c r="I1483" s="72"/>
      <c r="J1483" s="72"/>
    </row>
    <row r="1484" spans="1:10" ht="15" x14ac:dyDescent="0.2">
      <c r="A1484" s="72"/>
      <c r="B1484" s="72"/>
      <c r="C1484" s="72"/>
      <c r="D1484" s="72"/>
      <c r="E1484" s="72"/>
      <c r="F1484" s="72"/>
      <c r="G1484" s="72"/>
      <c r="H1484" s="72"/>
      <c r="I1484" s="72"/>
      <c r="J1484" s="72"/>
    </row>
    <row r="1485" spans="1:10" ht="15" x14ac:dyDescent="0.2">
      <c r="A1485" s="72"/>
      <c r="B1485" s="72"/>
      <c r="C1485" s="72"/>
      <c r="D1485" s="72"/>
      <c r="E1485" s="72"/>
      <c r="F1485" s="72"/>
      <c r="G1485" s="72"/>
      <c r="H1485" s="72"/>
      <c r="I1485" s="72"/>
      <c r="J1485" s="72"/>
    </row>
    <row r="1486" spans="1:10" ht="15" x14ac:dyDescent="0.2">
      <c r="A1486" s="72"/>
      <c r="B1486" s="72"/>
      <c r="C1486" s="72"/>
      <c r="D1486" s="72"/>
      <c r="E1486" s="72"/>
      <c r="F1486" s="72"/>
      <c r="G1486" s="72"/>
      <c r="H1486" s="72"/>
      <c r="I1486" s="72"/>
      <c r="J1486" s="72"/>
    </row>
    <row r="1487" spans="1:10" ht="15" x14ac:dyDescent="0.2">
      <c r="A1487" s="72"/>
      <c r="B1487" s="72"/>
      <c r="C1487" s="72"/>
      <c r="D1487" s="72"/>
      <c r="E1487" s="72"/>
      <c r="F1487" s="72"/>
      <c r="G1487" s="72"/>
      <c r="H1487" s="72"/>
      <c r="I1487" s="72"/>
      <c r="J1487" s="72"/>
    </row>
    <row r="1488" spans="1:10" ht="15" x14ac:dyDescent="0.2">
      <c r="A1488" s="72"/>
      <c r="B1488" s="72"/>
      <c r="C1488" s="72"/>
      <c r="D1488" s="72"/>
      <c r="E1488" s="72"/>
      <c r="F1488" s="72"/>
      <c r="G1488" s="72"/>
      <c r="H1488" s="72"/>
      <c r="I1488" s="72"/>
      <c r="J1488" s="72"/>
    </row>
    <row r="1489" spans="1:10" ht="15" x14ac:dyDescent="0.2">
      <c r="A1489" s="72"/>
      <c r="B1489" s="72"/>
      <c r="C1489" s="72"/>
      <c r="D1489" s="72"/>
      <c r="E1489" s="72"/>
      <c r="F1489" s="72"/>
      <c r="G1489" s="72"/>
      <c r="H1489" s="72"/>
      <c r="I1489" s="72"/>
      <c r="J1489" s="72"/>
    </row>
    <row r="1490" spans="1:10" ht="15" x14ac:dyDescent="0.2">
      <c r="A1490" s="72"/>
      <c r="B1490" s="72"/>
      <c r="C1490" s="72"/>
      <c r="D1490" s="72"/>
      <c r="E1490" s="72"/>
      <c r="F1490" s="72"/>
      <c r="G1490" s="72"/>
      <c r="H1490" s="72"/>
      <c r="I1490" s="72"/>
      <c r="J1490" s="72"/>
    </row>
    <row r="1491" spans="1:10" ht="15" x14ac:dyDescent="0.2">
      <c r="A1491" s="72"/>
      <c r="B1491" s="72"/>
      <c r="C1491" s="72"/>
      <c r="D1491" s="72"/>
      <c r="E1491" s="72"/>
      <c r="F1491" s="72"/>
      <c r="G1491" s="72"/>
      <c r="H1491" s="72"/>
      <c r="I1491" s="72"/>
      <c r="J1491" s="72"/>
    </row>
    <row r="1492" spans="1:10" ht="15" x14ac:dyDescent="0.2">
      <c r="A1492" s="72"/>
      <c r="B1492" s="72"/>
      <c r="C1492" s="72"/>
      <c r="D1492" s="72"/>
      <c r="E1492" s="72"/>
      <c r="F1492" s="72"/>
      <c r="G1492" s="72"/>
      <c r="H1492" s="72"/>
      <c r="I1492" s="72"/>
      <c r="J1492" s="72"/>
    </row>
    <row r="1493" spans="1:10" ht="15" x14ac:dyDescent="0.2">
      <c r="A1493" s="72"/>
      <c r="B1493" s="72"/>
      <c r="C1493" s="72"/>
      <c r="D1493" s="72"/>
      <c r="E1493" s="72"/>
      <c r="F1493" s="72"/>
      <c r="G1493" s="72"/>
      <c r="H1493" s="72"/>
      <c r="I1493" s="72"/>
      <c r="J1493" s="72"/>
    </row>
    <row r="1494" spans="1:10" ht="15" x14ac:dyDescent="0.2">
      <c r="A1494" s="72"/>
      <c r="B1494" s="72"/>
      <c r="C1494" s="72"/>
      <c r="D1494" s="72"/>
      <c r="E1494" s="72"/>
      <c r="F1494" s="72"/>
      <c r="G1494" s="72"/>
      <c r="H1494" s="72"/>
      <c r="I1494" s="72"/>
      <c r="J1494" s="72"/>
    </row>
    <row r="1495" spans="1:10" ht="15" x14ac:dyDescent="0.2">
      <c r="A1495" s="72"/>
      <c r="B1495" s="72"/>
      <c r="C1495" s="72"/>
      <c r="D1495" s="72"/>
      <c r="E1495" s="72"/>
      <c r="F1495" s="72"/>
      <c r="G1495" s="72"/>
      <c r="H1495" s="72"/>
      <c r="I1495" s="72"/>
      <c r="J1495" s="72"/>
    </row>
    <row r="1496" spans="1:10" ht="15" x14ac:dyDescent="0.2">
      <c r="A1496" s="72"/>
      <c r="B1496" s="72"/>
      <c r="C1496" s="72"/>
      <c r="D1496" s="72"/>
      <c r="E1496" s="72"/>
      <c r="F1496" s="72"/>
      <c r="G1496" s="72"/>
      <c r="H1496" s="72"/>
      <c r="I1496" s="72"/>
      <c r="J1496" s="72"/>
    </row>
    <row r="1497" spans="1:10" ht="15" x14ac:dyDescent="0.2">
      <c r="A1497" s="72"/>
      <c r="B1497" s="72"/>
      <c r="C1497" s="72"/>
      <c r="D1497" s="72"/>
      <c r="E1497" s="72"/>
      <c r="F1497" s="72"/>
      <c r="G1497" s="72"/>
      <c r="H1497" s="72"/>
      <c r="I1497" s="72"/>
      <c r="J1497" s="72"/>
    </row>
    <row r="1498" spans="1:10" ht="15" x14ac:dyDescent="0.2">
      <c r="A1498" s="72"/>
      <c r="B1498" s="72"/>
      <c r="C1498" s="72"/>
      <c r="D1498" s="72"/>
      <c r="E1498" s="72"/>
      <c r="F1498" s="72"/>
      <c r="G1498" s="72"/>
      <c r="H1498" s="72"/>
      <c r="I1498" s="72"/>
      <c r="J1498" s="72"/>
    </row>
    <row r="1499" spans="1:10" ht="15" x14ac:dyDescent="0.2">
      <c r="A1499" s="72"/>
      <c r="B1499" s="72"/>
      <c r="C1499" s="72"/>
      <c r="D1499" s="72"/>
      <c r="E1499" s="72"/>
      <c r="F1499" s="72"/>
      <c r="G1499" s="72"/>
      <c r="H1499" s="72"/>
      <c r="I1499" s="72"/>
      <c r="J1499" s="72"/>
    </row>
    <row r="1500" spans="1:10" ht="15" x14ac:dyDescent="0.2">
      <c r="A1500" s="72"/>
      <c r="B1500" s="72"/>
      <c r="C1500" s="72"/>
      <c r="D1500" s="72"/>
      <c r="E1500" s="72"/>
      <c r="F1500" s="72"/>
      <c r="G1500" s="72"/>
      <c r="H1500" s="72"/>
      <c r="I1500" s="72"/>
      <c r="J1500" s="72"/>
    </row>
    <row r="1501" spans="1:10" ht="15" x14ac:dyDescent="0.2">
      <c r="A1501" s="72"/>
      <c r="B1501" s="72"/>
      <c r="C1501" s="72"/>
      <c r="D1501" s="72"/>
      <c r="E1501" s="72"/>
      <c r="F1501" s="72"/>
      <c r="G1501" s="72"/>
      <c r="H1501" s="72"/>
      <c r="I1501" s="72"/>
      <c r="J1501" s="72"/>
    </row>
    <row r="1502" spans="1:10" ht="15" x14ac:dyDescent="0.2">
      <c r="A1502" s="72"/>
      <c r="B1502" s="72"/>
      <c r="C1502" s="72"/>
      <c r="D1502" s="72"/>
      <c r="E1502" s="72"/>
      <c r="F1502" s="72"/>
      <c r="G1502" s="72"/>
      <c r="H1502" s="72"/>
      <c r="I1502" s="72"/>
      <c r="J1502" s="72"/>
    </row>
    <row r="1503" spans="1:10" ht="15" x14ac:dyDescent="0.2">
      <c r="A1503" s="72"/>
      <c r="B1503" s="72"/>
      <c r="C1503" s="72"/>
      <c r="D1503" s="72"/>
      <c r="E1503" s="72"/>
      <c r="F1503" s="72"/>
      <c r="G1503" s="72"/>
      <c r="H1503" s="72"/>
      <c r="I1503" s="72"/>
      <c r="J1503" s="72"/>
    </row>
    <row r="1504" spans="1:10" ht="15" x14ac:dyDescent="0.2">
      <c r="A1504" s="72"/>
      <c r="B1504" s="72"/>
      <c r="C1504" s="72"/>
      <c r="D1504" s="72"/>
      <c r="E1504" s="72"/>
      <c r="F1504" s="72"/>
      <c r="G1504" s="72"/>
      <c r="H1504" s="72"/>
      <c r="I1504" s="72"/>
      <c r="J1504" s="72"/>
    </row>
    <row r="1505" spans="1:10" ht="15" x14ac:dyDescent="0.2">
      <c r="A1505" s="72"/>
      <c r="B1505" s="72"/>
      <c r="C1505" s="72"/>
      <c r="D1505" s="72"/>
      <c r="E1505" s="72"/>
      <c r="F1505" s="72"/>
      <c r="G1505" s="72"/>
      <c r="H1505" s="72"/>
      <c r="I1505" s="72"/>
      <c r="J1505" s="72"/>
    </row>
    <row r="1506" spans="1:10" ht="15" x14ac:dyDescent="0.2">
      <c r="A1506" s="72"/>
      <c r="B1506" s="72"/>
      <c r="C1506" s="72"/>
      <c r="D1506" s="72"/>
      <c r="E1506" s="72"/>
      <c r="F1506" s="72"/>
      <c r="G1506" s="72"/>
      <c r="H1506" s="72"/>
      <c r="I1506" s="72"/>
      <c r="J1506" s="72"/>
    </row>
    <row r="1507" spans="1:10" ht="15" x14ac:dyDescent="0.2">
      <c r="A1507" s="72"/>
      <c r="B1507" s="72"/>
      <c r="C1507" s="72"/>
      <c r="D1507" s="72"/>
      <c r="E1507" s="72"/>
      <c r="F1507" s="72"/>
      <c r="G1507" s="72"/>
      <c r="H1507" s="72"/>
      <c r="I1507" s="72"/>
      <c r="J1507" s="72"/>
    </row>
    <row r="1508" spans="1:10" ht="15" x14ac:dyDescent="0.2">
      <c r="A1508" s="72"/>
      <c r="B1508" s="72"/>
      <c r="C1508" s="72"/>
      <c r="D1508" s="72"/>
      <c r="E1508" s="72"/>
      <c r="F1508" s="72"/>
      <c r="G1508" s="72"/>
      <c r="H1508" s="72"/>
      <c r="I1508" s="72"/>
      <c r="J1508" s="72"/>
    </row>
    <row r="1509" spans="1:10" ht="15" x14ac:dyDescent="0.2">
      <c r="A1509" s="72"/>
      <c r="B1509" s="72"/>
      <c r="C1509" s="72"/>
      <c r="D1509" s="72"/>
      <c r="E1509" s="72"/>
      <c r="F1509" s="72"/>
      <c r="G1509" s="72"/>
      <c r="H1509" s="72"/>
      <c r="I1509" s="72"/>
      <c r="J1509" s="72"/>
    </row>
    <row r="1510" spans="1:10" ht="15" x14ac:dyDescent="0.2">
      <c r="A1510" s="72"/>
      <c r="B1510" s="72"/>
      <c r="C1510" s="72"/>
      <c r="D1510" s="72"/>
      <c r="E1510" s="72"/>
      <c r="F1510" s="72"/>
      <c r="G1510" s="72"/>
      <c r="H1510" s="72"/>
      <c r="I1510" s="72"/>
      <c r="J1510" s="72"/>
    </row>
    <row r="1511" spans="1:10" ht="15" x14ac:dyDescent="0.2">
      <c r="A1511" s="72"/>
      <c r="B1511" s="72"/>
      <c r="C1511" s="72"/>
      <c r="D1511" s="72"/>
      <c r="E1511" s="72"/>
      <c r="F1511" s="72"/>
      <c r="G1511" s="72"/>
      <c r="H1511" s="72"/>
      <c r="I1511" s="72"/>
      <c r="J1511" s="72"/>
    </row>
    <row r="1512" spans="1:10" ht="15" x14ac:dyDescent="0.2">
      <c r="A1512" s="72"/>
      <c r="B1512" s="72"/>
      <c r="C1512" s="72"/>
      <c r="D1512" s="72"/>
      <c r="E1512" s="72"/>
      <c r="F1512" s="72"/>
      <c r="G1512" s="72"/>
      <c r="H1512" s="72"/>
      <c r="I1512" s="72"/>
      <c r="J1512" s="72"/>
    </row>
    <row r="1513" spans="1:10" ht="15" x14ac:dyDescent="0.2">
      <c r="A1513" s="72"/>
      <c r="B1513" s="72"/>
      <c r="C1513" s="72"/>
      <c r="D1513" s="72"/>
      <c r="E1513" s="72"/>
      <c r="F1513" s="72"/>
      <c r="G1513" s="72"/>
      <c r="H1513" s="72"/>
      <c r="I1513" s="72"/>
      <c r="J1513" s="72"/>
    </row>
    <row r="1514" spans="1:10" ht="15" x14ac:dyDescent="0.2">
      <c r="A1514" s="72"/>
      <c r="B1514" s="72"/>
      <c r="C1514" s="72"/>
      <c r="D1514" s="72"/>
      <c r="E1514" s="72"/>
      <c r="F1514" s="72"/>
      <c r="G1514" s="72"/>
      <c r="H1514" s="72"/>
      <c r="I1514" s="72"/>
      <c r="J1514" s="72"/>
    </row>
    <row r="1515" spans="1:10" ht="15" x14ac:dyDescent="0.2">
      <c r="A1515" s="72"/>
      <c r="B1515" s="72"/>
      <c r="C1515" s="72"/>
      <c r="D1515" s="72"/>
      <c r="E1515" s="72"/>
      <c r="F1515" s="72"/>
      <c r="G1515" s="72"/>
      <c r="H1515" s="72"/>
      <c r="I1515" s="72"/>
      <c r="J1515" s="72"/>
    </row>
    <row r="1516" spans="1:10" ht="15" x14ac:dyDescent="0.2">
      <c r="A1516" s="72"/>
      <c r="B1516" s="72"/>
      <c r="C1516" s="72"/>
      <c r="D1516" s="72"/>
      <c r="E1516" s="72"/>
      <c r="F1516" s="72"/>
      <c r="G1516" s="72"/>
      <c r="H1516" s="72"/>
      <c r="I1516" s="72"/>
      <c r="J1516" s="72"/>
    </row>
    <row r="1517" spans="1:10" ht="15" x14ac:dyDescent="0.2">
      <c r="A1517" s="72"/>
      <c r="B1517" s="72"/>
      <c r="C1517" s="72"/>
      <c r="D1517" s="72"/>
      <c r="E1517" s="72"/>
      <c r="F1517" s="72"/>
      <c r="G1517" s="72"/>
      <c r="H1517" s="72"/>
      <c r="I1517" s="72"/>
      <c r="J1517" s="72"/>
    </row>
    <row r="1518" spans="1:10" ht="15" x14ac:dyDescent="0.2">
      <c r="A1518" s="72"/>
      <c r="B1518" s="72"/>
      <c r="C1518" s="72"/>
      <c r="D1518" s="72"/>
      <c r="E1518" s="72"/>
      <c r="F1518" s="72"/>
      <c r="G1518" s="72"/>
      <c r="H1518" s="72"/>
      <c r="I1518" s="72"/>
      <c r="J1518" s="72"/>
    </row>
    <row r="1519" spans="1:10" ht="15" x14ac:dyDescent="0.2">
      <c r="A1519" s="72"/>
      <c r="B1519" s="72"/>
      <c r="C1519" s="72"/>
      <c r="D1519" s="72"/>
      <c r="E1519" s="72"/>
      <c r="F1519" s="72"/>
      <c r="G1519" s="72"/>
      <c r="H1519" s="72"/>
      <c r="I1519" s="72"/>
      <c r="J1519" s="72"/>
    </row>
    <row r="1520" spans="1:10" ht="15" x14ac:dyDescent="0.2">
      <c r="A1520" s="72"/>
      <c r="B1520" s="72"/>
      <c r="C1520" s="72"/>
      <c r="D1520" s="72"/>
      <c r="E1520" s="72"/>
      <c r="F1520" s="72"/>
      <c r="G1520" s="72"/>
      <c r="H1520" s="72"/>
      <c r="I1520" s="72"/>
      <c r="J1520" s="72"/>
    </row>
    <row r="1521" spans="1:10" ht="15" x14ac:dyDescent="0.2">
      <c r="A1521" s="72"/>
      <c r="B1521" s="72"/>
      <c r="C1521" s="72"/>
      <c r="D1521" s="72"/>
      <c r="E1521" s="72"/>
      <c r="F1521" s="72"/>
      <c r="G1521" s="72"/>
      <c r="H1521" s="72"/>
      <c r="I1521" s="72"/>
      <c r="J1521" s="72"/>
    </row>
    <row r="1522" spans="1:10" ht="15" x14ac:dyDescent="0.2">
      <c r="A1522" s="72"/>
      <c r="B1522" s="72"/>
      <c r="C1522" s="72"/>
      <c r="D1522" s="72"/>
      <c r="E1522" s="72"/>
      <c r="F1522" s="72"/>
      <c r="G1522" s="72"/>
      <c r="H1522" s="72"/>
      <c r="I1522" s="72"/>
      <c r="J1522" s="72"/>
    </row>
    <row r="1523" spans="1:10" ht="15" x14ac:dyDescent="0.2">
      <c r="A1523" s="72"/>
      <c r="B1523" s="72"/>
      <c r="C1523" s="72"/>
      <c r="D1523" s="72"/>
      <c r="E1523" s="72"/>
      <c r="F1523" s="72"/>
      <c r="G1523" s="72"/>
      <c r="H1523" s="72"/>
      <c r="I1523" s="72"/>
      <c r="J1523" s="72"/>
    </row>
    <row r="1524" spans="1:10" ht="15" x14ac:dyDescent="0.2">
      <c r="A1524" s="72"/>
      <c r="B1524" s="72"/>
      <c r="C1524" s="72"/>
      <c r="D1524" s="72"/>
      <c r="E1524" s="72"/>
      <c r="F1524" s="72"/>
      <c r="G1524" s="72"/>
      <c r="H1524" s="72"/>
      <c r="I1524" s="72"/>
      <c r="J1524" s="72"/>
    </row>
    <row r="1525" spans="1:10" ht="15" x14ac:dyDescent="0.2">
      <c r="A1525" s="72"/>
      <c r="B1525" s="72"/>
      <c r="C1525" s="72"/>
      <c r="D1525" s="72"/>
      <c r="E1525" s="72"/>
      <c r="F1525" s="72"/>
      <c r="G1525" s="72"/>
      <c r="H1525" s="72"/>
      <c r="I1525" s="72"/>
      <c r="J1525" s="72"/>
    </row>
    <row r="1526" spans="1:10" ht="15" x14ac:dyDescent="0.2">
      <c r="A1526" s="72"/>
      <c r="B1526" s="72"/>
      <c r="C1526" s="72"/>
      <c r="D1526" s="72"/>
      <c r="E1526" s="72"/>
      <c r="F1526" s="72"/>
      <c r="G1526" s="72"/>
      <c r="H1526" s="72"/>
      <c r="I1526" s="72"/>
      <c r="J1526" s="72"/>
    </row>
    <row r="1527" spans="1:10" ht="15" x14ac:dyDescent="0.2">
      <c r="A1527" s="72"/>
      <c r="B1527" s="72"/>
      <c r="C1527" s="72"/>
      <c r="D1527" s="72"/>
      <c r="E1527" s="72"/>
      <c r="F1527" s="72"/>
      <c r="G1527" s="72"/>
      <c r="H1527" s="72"/>
      <c r="I1527" s="72"/>
      <c r="J1527" s="72"/>
    </row>
    <row r="1528" spans="1:10" ht="15" x14ac:dyDescent="0.2">
      <c r="A1528" s="72"/>
      <c r="B1528" s="72"/>
      <c r="C1528" s="72"/>
      <c r="D1528" s="72"/>
      <c r="E1528" s="72"/>
      <c r="F1528" s="72"/>
      <c r="G1528" s="72"/>
      <c r="H1528" s="72"/>
      <c r="I1528" s="72"/>
      <c r="J1528" s="72"/>
    </row>
    <row r="1529" spans="1:10" ht="15" x14ac:dyDescent="0.2">
      <c r="A1529" s="72"/>
      <c r="B1529" s="72"/>
      <c r="C1529" s="72"/>
      <c r="D1529" s="72"/>
      <c r="E1529" s="72"/>
      <c r="F1529" s="72"/>
      <c r="G1529" s="72"/>
      <c r="H1529" s="72"/>
      <c r="I1529" s="72"/>
      <c r="J1529" s="72"/>
    </row>
    <row r="1530" spans="1:10" ht="15" x14ac:dyDescent="0.2">
      <c r="A1530" s="72"/>
      <c r="B1530" s="72"/>
      <c r="C1530" s="72"/>
      <c r="D1530" s="72"/>
      <c r="E1530" s="72"/>
      <c r="F1530" s="72"/>
      <c r="G1530" s="72"/>
      <c r="H1530" s="72"/>
      <c r="I1530" s="72"/>
      <c r="J1530" s="72"/>
    </row>
    <row r="1531" spans="1:10" ht="15" x14ac:dyDescent="0.2">
      <c r="A1531" s="72"/>
      <c r="B1531" s="72"/>
      <c r="C1531" s="72"/>
      <c r="D1531" s="72"/>
      <c r="E1531" s="72"/>
      <c r="F1531" s="72"/>
      <c r="G1531" s="72"/>
      <c r="H1531" s="72"/>
      <c r="I1531" s="72"/>
      <c r="J1531" s="72"/>
    </row>
    <row r="1532" spans="1:10" ht="15" x14ac:dyDescent="0.2">
      <c r="A1532" s="72"/>
      <c r="B1532" s="72"/>
      <c r="C1532" s="72"/>
      <c r="D1532" s="72"/>
      <c r="E1532" s="72"/>
      <c r="F1532" s="72"/>
      <c r="G1532" s="72"/>
      <c r="H1532" s="72"/>
      <c r="I1532" s="72"/>
      <c r="J1532" s="72"/>
    </row>
    <row r="1533" spans="1:10" ht="15" x14ac:dyDescent="0.2">
      <c r="A1533" s="72"/>
      <c r="B1533" s="72"/>
      <c r="C1533" s="72"/>
      <c r="D1533" s="72"/>
      <c r="E1533" s="72"/>
      <c r="F1533" s="72"/>
      <c r="G1533" s="72"/>
      <c r="H1533" s="72"/>
      <c r="I1533" s="72"/>
      <c r="J1533" s="72"/>
    </row>
    <row r="1534" spans="1:10" ht="15" x14ac:dyDescent="0.2">
      <c r="A1534" s="72"/>
      <c r="B1534" s="72"/>
      <c r="C1534" s="72"/>
      <c r="D1534" s="72"/>
      <c r="E1534" s="72"/>
      <c r="F1534" s="72"/>
      <c r="G1534" s="72"/>
      <c r="H1534" s="72"/>
      <c r="I1534" s="72"/>
      <c r="J1534" s="72"/>
    </row>
    <row r="1535" spans="1:10" ht="15" x14ac:dyDescent="0.2">
      <c r="A1535" s="72"/>
      <c r="B1535" s="72"/>
      <c r="C1535" s="72"/>
      <c r="D1535" s="72"/>
      <c r="E1535" s="72"/>
      <c r="F1535" s="72"/>
      <c r="G1535" s="72"/>
      <c r="H1535" s="72"/>
      <c r="I1535" s="72"/>
      <c r="J1535" s="72"/>
    </row>
    <row r="1536" spans="1:10" ht="15" x14ac:dyDescent="0.2">
      <c r="A1536" s="72"/>
      <c r="B1536" s="72"/>
      <c r="C1536" s="72"/>
      <c r="D1536" s="72"/>
      <c r="E1536" s="72"/>
      <c r="F1536" s="72"/>
      <c r="G1536" s="72"/>
      <c r="H1536" s="72"/>
      <c r="I1536" s="72"/>
      <c r="J1536" s="72"/>
    </row>
    <row r="1537" spans="1:10" ht="15" x14ac:dyDescent="0.2">
      <c r="A1537" s="72"/>
      <c r="B1537" s="72"/>
      <c r="C1537" s="72"/>
      <c r="D1537" s="72"/>
      <c r="E1537" s="72"/>
      <c r="F1537" s="72"/>
      <c r="G1537" s="72"/>
      <c r="H1537" s="72"/>
      <c r="I1537" s="72"/>
      <c r="J1537" s="72"/>
    </row>
    <row r="1538" spans="1:10" ht="15" x14ac:dyDescent="0.2">
      <c r="A1538" s="72"/>
      <c r="B1538" s="72"/>
      <c r="C1538" s="72"/>
      <c r="D1538" s="72"/>
      <c r="E1538" s="72"/>
      <c r="F1538" s="72"/>
      <c r="G1538" s="72"/>
      <c r="H1538" s="72"/>
      <c r="I1538" s="72"/>
      <c r="J1538" s="72"/>
    </row>
    <row r="1539" spans="1:10" ht="15" x14ac:dyDescent="0.2">
      <c r="A1539" s="72"/>
      <c r="B1539" s="72"/>
      <c r="C1539" s="72"/>
      <c r="D1539" s="72"/>
      <c r="E1539" s="72"/>
      <c r="F1539" s="72"/>
      <c r="G1539" s="72"/>
      <c r="H1539" s="72"/>
      <c r="I1539" s="72"/>
      <c r="J1539" s="72"/>
    </row>
    <row r="1540" spans="1:10" ht="15" x14ac:dyDescent="0.2">
      <c r="A1540" s="72"/>
      <c r="B1540" s="72"/>
      <c r="C1540" s="72"/>
      <c r="D1540" s="72"/>
      <c r="E1540" s="72"/>
      <c r="F1540" s="72"/>
      <c r="G1540" s="72"/>
      <c r="H1540" s="72"/>
      <c r="I1540" s="72"/>
      <c r="J1540" s="72"/>
    </row>
    <row r="1541" spans="1:10" ht="15" x14ac:dyDescent="0.2">
      <c r="A1541" s="72"/>
      <c r="B1541" s="72"/>
      <c r="C1541" s="72"/>
      <c r="D1541" s="72"/>
      <c r="E1541" s="72"/>
      <c r="F1541" s="72"/>
      <c r="G1541" s="72"/>
      <c r="H1541" s="72"/>
      <c r="I1541" s="72"/>
      <c r="J1541" s="72"/>
    </row>
    <row r="1542" spans="1:10" ht="15" x14ac:dyDescent="0.2">
      <c r="A1542" s="72"/>
      <c r="B1542" s="72"/>
      <c r="C1542" s="72"/>
      <c r="D1542" s="72"/>
      <c r="E1542" s="72"/>
      <c r="F1542" s="72"/>
      <c r="G1542" s="72"/>
      <c r="H1542" s="72"/>
      <c r="I1542" s="72"/>
      <c r="J1542" s="72"/>
    </row>
    <row r="1543" spans="1:10" ht="15" x14ac:dyDescent="0.2">
      <c r="A1543" s="72"/>
      <c r="B1543" s="72"/>
      <c r="C1543" s="72"/>
      <c r="D1543" s="72"/>
      <c r="E1543" s="72"/>
      <c r="F1543" s="72"/>
      <c r="G1543" s="72"/>
      <c r="H1543" s="72"/>
      <c r="I1543" s="72"/>
      <c r="J1543" s="72"/>
    </row>
    <row r="1544" spans="1:10" ht="15" x14ac:dyDescent="0.2">
      <c r="A1544" s="72"/>
      <c r="B1544" s="72"/>
      <c r="C1544" s="72"/>
      <c r="D1544" s="72"/>
      <c r="E1544" s="72"/>
      <c r="F1544" s="72"/>
      <c r="G1544" s="72"/>
      <c r="H1544" s="72"/>
      <c r="I1544" s="72"/>
      <c r="J1544" s="72"/>
    </row>
    <row r="1545" spans="1:10" ht="15" x14ac:dyDescent="0.2">
      <c r="A1545" s="72"/>
      <c r="B1545" s="72"/>
      <c r="C1545" s="72"/>
      <c r="D1545" s="72"/>
      <c r="E1545" s="72"/>
      <c r="F1545" s="72"/>
      <c r="G1545" s="72"/>
      <c r="H1545" s="72"/>
      <c r="I1545" s="72"/>
      <c r="J1545" s="72"/>
    </row>
    <row r="1546" spans="1:10" ht="15" x14ac:dyDescent="0.2">
      <c r="A1546" s="72"/>
      <c r="B1546" s="72"/>
      <c r="C1546" s="72"/>
      <c r="D1546" s="72"/>
      <c r="E1546" s="72"/>
      <c r="F1546" s="72"/>
      <c r="G1546" s="72"/>
      <c r="H1546" s="72"/>
      <c r="I1546" s="72"/>
      <c r="J1546" s="72"/>
    </row>
    <row r="1547" spans="1:10" ht="15" x14ac:dyDescent="0.2">
      <c r="A1547" s="72"/>
      <c r="B1547" s="72"/>
      <c r="C1547" s="72"/>
      <c r="D1547" s="72"/>
      <c r="E1547" s="72"/>
      <c r="F1547" s="72"/>
      <c r="G1547" s="72"/>
      <c r="H1547" s="72"/>
      <c r="I1547" s="72"/>
      <c r="J1547" s="72"/>
    </row>
    <row r="1548" spans="1:10" ht="15" x14ac:dyDescent="0.2">
      <c r="A1548" s="72"/>
      <c r="B1548" s="72"/>
      <c r="C1548" s="72"/>
      <c r="D1548" s="72"/>
      <c r="E1548" s="72"/>
      <c r="F1548" s="72"/>
      <c r="G1548" s="72"/>
      <c r="H1548" s="72"/>
      <c r="I1548" s="72"/>
      <c r="J1548" s="72"/>
    </row>
    <row r="1549" spans="1:10" ht="15" x14ac:dyDescent="0.2">
      <c r="A1549" s="72"/>
      <c r="B1549" s="72"/>
      <c r="C1549" s="72"/>
      <c r="D1549" s="72"/>
      <c r="E1549" s="72"/>
      <c r="F1549" s="72"/>
      <c r="G1549" s="72"/>
      <c r="H1549" s="72"/>
      <c r="I1549" s="72"/>
      <c r="J1549" s="72"/>
    </row>
    <row r="1550" spans="1:10" ht="15" x14ac:dyDescent="0.2">
      <c r="A1550" s="72"/>
      <c r="B1550" s="72"/>
      <c r="C1550" s="72"/>
      <c r="D1550" s="72"/>
      <c r="E1550" s="72"/>
      <c r="F1550" s="72"/>
      <c r="G1550" s="72"/>
      <c r="H1550" s="72"/>
      <c r="I1550" s="72"/>
      <c r="J1550" s="72"/>
    </row>
    <row r="1551" spans="1:10" ht="15" x14ac:dyDescent="0.2">
      <c r="A1551" s="72"/>
      <c r="B1551" s="72"/>
      <c r="C1551" s="72"/>
      <c r="D1551" s="72"/>
      <c r="E1551" s="72"/>
      <c r="F1551" s="72"/>
      <c r="G1551" s="72"/>
      <c r="H1551" s="72"/>
      <c r="I1551" s="72"/>
      <c r="J1551" s="72"/>
    </row>
    <row r="1552" spans="1:10" ht="15" x14ac:dyDescent="0.2">
      <c r="A1552" s="72"/>
      <c r="B1552" s="72"/>
      <c r="C1552" s="72"/>
      <c r="D1552" s="72"/>
      <c r="E1552" s="72"/>
      <c r="F1552" s="72"/>
      <c r="G1552" s="72"/>
      <c r="H1552" s="72"/>
      <c r="I1552" s="72"/>
      <c r="J1552" s="72"/>
    </row>
    <row r="1553" spans="1:10" ht="15" x14ac:dyDescent="0.2">
      <c r="A1553" s="72"/>
      <c r="B1553" s="72"/>
      <c r="C1553" s="72"/>
      <c r="D1553" s="72"/>
      <c r="E1553" s="72"/>
      <c r="F1553" s="72"/>
      <c r="G1553" s="72"/>
      <c r="H1553" s="72"/>
      <c r="I1553" s="72"/>
      <c r="J1553" s="72"/>
    </row>
    <row r="1554" spans="1:10" ht="15" x14ac:dyDescent="0.2">
      <c r="A1554" s="72"/>
      <c r="B1554" s="72"/>
      <c r="C1554" s="72"/>
      <c r="D1554" s="72"/>
      <c r="E1554" s="72"/>
      <c r="F1554" s="72"/>
      <c r="G1554" s="72"/>
      <c r="H1554" s="72"/>
      <c r="I1554" s="72"/>
      <c r="J1554" s="72"/>
    </row>
    <row r="1555" spans="1:10" ht="15" x14ac:dyDescent="0.2">
      <c r="A1555" s="72"/>
      <c r="B1555" s="72"/>
      <c r="C1555" s="72"/>
      <c r="D1555" s="72"/>
      <c r="E1555" s="72"/>
      <c r="F1555" s="72"/>
      <c r="G1555" s="72"/>
      <c r="H1555" s="72"/>
      <c r="I1555" s="72"/>
      <c r="J1555" s="72"/>
    </row>
    <row r="1556" spans="1:10" ht="15" x14ac:dyDescent="0.2">
      <c r="A1556" s="72"/>
      <c r="B1556" s="72"/>
      <c r="C1556" s="72"/>
      <c r="D1556" s="72"/>
      <c r="E1556" s="72"/>
      <c r="F1556" s="72"/>
      <c r="G1556" s="72"/>
      <c r="H1556" s="72"/>
      <c r="I1556" s="72"/>
      <c r="J1556" s="72"/>
    </row>
    <row r="1557" spans="1:10" ht="15" x14ac:dyDescent="0.2">
      <c r="A1557" s="72"/>
      <c r="B1557" s="72"/>
      <c r="C1557" s="72"/>
      <c r="D1557" s="72"/>
      <c r="E1557" s="72"/>
      <c r="F1557" s="72"/>
      <c r="G1557" s="72"/>
      <c r="H1557" s="72"/>
      <c r="I1557" s="72"/>
      <c r="J1557" s="72"/>
    </row>
    <row r="1558" spans="1:10" ht="15" x14ac:dyDescent="0.2">
      <c r="A1558" s="72"/>
      <c r="B1558" s="72"/>
      <c r="C1558" s="72"/>
      <c r="D1558" s="72"/>
      <c r="E1558" s="72"/>
      <c r="F1558" s="72"/>
      <c r="G1558" s="72"/>
      <c r="H1558" s="72"/>
      <c r="I1558" s="72"/>
      <c r="J1558" s="72"/>
    </row>
    <row r="1559" spans="1:10" ht="15" x14ac:dyDescent="0.2">
      <c r="A1559" s="72"/>
      <c r="B1559" s="72"/>
      <c r="C1559" s="72"/>
      <c r="D1559" s="72"/>
      <c r="E1559" s="72"/>
      <c r="F1559" s="72"/>
      <c r="G1559" s="72"/>
      <c r="H1559" s="72"/>
      <c r="I1559" s="72"/>
      <c r="J1559" s="72"/>
    </row>
    <row r="1560" spans="1:10" ht="15" x14ac:dyDescent="0.2">
      <c r="A1560" s="72"/>
      <c r="B1560" s="72"/>
      <c r="C1560" s="72"/>
      <c r="D1560" s="72"/>
      <c r="E1560" s="72"/>
      <c r="F1560" s="72"/>
      <c r="G1560" s="72"/>
      <c r="H1560" s="72"/>
      <c r="I1560" s="72"/>
      <c r="J1560" s="72"/>
    </row>
    <row r="1561" spans="1:10" ht="15" x14ac:dyDescent="0.2">
      <c r="A1561" s="72"/>
      <c r="B1561" s="72"/>
      <c r="C1561" s="72"/>
      <c r="D1561" s="72"/>
      <c r="E1561" s="72"/>
      <c r="F1561" s="72"/>
      <c r="G1561" s="72"/>
      <c r="H1561" s="72"/>
      <c r="I1561" s="72"/>
      <c r="J1561" s="72"/>
    </row>
    <row r="1562" spans="1:10" ht="15" x14ac:dyDescent="0.2">
      <c r="A1562" s="72"/>
      <c r="B1562" s="72"/>
      <c r="C1562" s="72"/>
      <c r="D1562" s="72"/>
      <c r="E1562" s="72"/>
      <c r="F1562" s="72"/>
      <c r="G1562" s="72"/>
      <c r="H1562" s="72"/>
      <c r="I1562" s="72"/>
      <c r="J1562" s="72"/>
    </row>
    <row r="1563" spans="1:10" ht="15" x14ac:dyDescent="0.2">
      <c r="A1563" s="72"/>
      <c r="B1563" s="72"/>
      <c r="C1563" s="72"/>
      <c r="D1563" s="72"/>
      <c r="E1563" s="72"/>
      <c r="F1563" s="72"/>
      <c r="G1563" s="72"/>
      <c r="H1563" s="72"/>
      <c r="I1563" s="72"/>
      <c r="J1563" s="72"/>
    </row>
    <row r="1564" spans="1:10" ht="15" x14ac:dyDescent="0.2">
      <c r="A1564" s="72"/>
      <c r="B1564" s="72"/>
      <c r="C1564" s="72"/>
      <c r="D1564" s="72"/>
      <c r="E1564" s="72"/>
      <c r="F1564" s="72"/>
      <c r="G1564" s="72"/>
      <c r="H1564" s="72"/>
      <c r="I1564" s="72"/>
      <c r="J1564" s="72"/>
    </row>
    <row r="1565" spans="1:10" ht="15" x14ac:dyDescent="0.2">
      <c r="A1565" s="72"/>
      <c r="B1565" s="72"/>
      <c r="C1565" s="72"/>
      <c r="D1565" s="72"/>
      <c r="E1565" s="72"/>
      <c r="F1565" s="72"/>
      <c r="G1565" s="72"/>
      <c r="H1565" s="72"/>
      <c r="I1565" s="72"/>
      <c r="J1565" s="72"/>
    </row>
    <row r="1566" spans="1:10" ht="15" x14ac:dyDescent="0.2">
      <c r="A1566" s="72"/>
      <c r="B1566" s="72"/>
      <c r="C1566" s="72"/>
      <c r="D1566" s="72"/>
      <c r="E1566" s="72"/>
      <c r="F1566" s="72"/>
      <c r="G1566" s="72"/>
      <c r="H1566" s="72"/>
      <c r="I1566" s="72"/>
      <c r="J1566" s="72"/>
    </row>
    <row r="1567" spans="1:10" ht="15" x14ac:dyDescent="0.2">
      <c r="A1567" s="72"/>
      <c r="B1567" s="72"/>
      <c r="C1567" s="72"/>
      <c r="D1567" s="72"/>
      <c r="E1567" s="72"/>
      <c r="F1567" s="72"/>
      <c r="G1567" s="72"/>
      <c r="H1567" s="72"/>
      <c r="I1567" s="72"/>
      <c r="J1567" s="72"/>
    </row>
    <row r="1568" spans="1:10" ht="15" x14ac:dyDescent="0.2">
      <c r="A1568" s="72"/>
      <c r="B1568" s="72"/>
      <c r="C1568" s="72"/>
      <c r="D1568" s="72"/>
      <c r="E1568" s="72"/>
      <c r="F1568" s="72"/>
      <c r="G1568" s="72"/>
      <c r="H1568" s="72"/>
      <c r="I1568" s="72"/>
      <c r="J1568" s="72"/>
    </row>
    <row r="1569" spans="1:10" ht="15" x14ac:dyDescent="0.2">
      <c r="A1569" s="72"/>
      <c r="B1569" s="72"/>
      <c r="C1569" s="72"/>
      <c r="D1569" s="72"/>
      <c r="E1569" s="72"/>
      <c r="F1569" s="72"/>
      <c r="G1569" s="72"/>
      <c r="H1569" s="72"/>
      <c r="I1569" s="72"/>
      <c r="J1569" s="72"/>
    </row>
    <row r="1570" spans="1:10" ht="15" x14ac:dyDescent="0.2">
      <c r="A1570" s="72"/>
      <c r="B1570" s="72"/>
      <c r="C1570" s="72"/>
      <c r="D1570" s="72"/>
      <c r="E1570" s="72"/>
      <c r="F1570" s="72"/>
      <c r="G1570" s="72"/>
      <c r="H1570" s="72"/>
      <c r="I1570" s="72"/>
      <c r="J1570" s="72"/>
    </row>
    <row r="1571" spans="1:10" ht="15" x14ac:dyDescent="0.2">
      <c r="A1571" s="72"/>
      <c r="B1571" s="72"/>
      <c r="C1571" s="72"/>
      <c r="D1571" s="72"/>
      <c r="E1571" s="72"/>
      <c r="F1571" s="72"/>
      <c r="G1571" s="72"/>
      <c r="H1571" s="72"/>
      <c r="I1571" s="72"/>
      <c r="J1571" s="72"/>
    </row>
    <row r="1572" spans="1:10" ht="15" x14ac:dyDescent="0.2">
      <c r="A1572" s="72"/>
      <c r="B1572" s="72"/>
      <c r="C1572" s="72"/>
      <c r="D1572" s="72"/>
      <c r="E1572" s="72"/>
      <c r="F1572" s="72"/>
      <c r="G1572" s="72"/>
      <c r="H1572" s="72"/>
      <c r="I1572" s="72"/>
      <c r="J1572" s="72"/>
    </row>
    <row r="1573" spans="1:10" ht="15" x14ac:dyDescent="0.2">
      <c r="A1573" s="72"/>
      <c r="B1573" s="72"/>
      <c r="C1573" s="72"/>
      <c r="D1573" s="72"/>
      <c r="E1573" s="72"/>
      <c r="F1573" s="72"/>
      <c r="G1573" s="72"/>
      <c r="H1573" s="72"/>
      <c r="I1573" s="72"/>
      <c r="J1573" s="72"/>
    </row>
    <row r="1574" spans="1:10" ht="15" x14ac:dyDescent="0.2">
      <c r="A1574" s="72"/>
      <c r="B1574" s="72"/>
      <c r="C1574" s="72"/>
      <c r="D1574" s="72"/>
      <c r="E1574" s="72"/>
      <c r="F1574" s="72"/>
      <c r="G1574" s="72"/>
      <c r="H1574" s="72"/>
      <c r="I1574" s="72"/>
      <c r="J1574" s="72"/>
    </row>
    <row r="1575" spans="1:10" ht="15" x14ac:dyDescent="0.2">
      <c r="A1575" s="72"/>
      <c r="B1575" s="72"/>
      <c r="C1575" s="72"/>
      <c r="D1575" s="72"/>
      <c r="E1575" s="72"/>
      <c r="F1575" s="72"/>
      <c r="G1575" s="72"/>
      <c r="H1575" s="72"/>
      <c r="I1575" s="72"/>
      <c r="J1575" s="72"/>
    </row>
    <row r="1576" spans="1:10" ht="15" x14ac:dyDescent="0.2">
      <c r="A1576" s="72"/>
      <c r="B1576" s="72"/>
      <c r="C1576" s="72"/>
      <c r="D1576" s="72"/>
      <c r="E1576" s="72"/>
      <c r="F1576" s="72"/>
      <c r="G1576" s="72"/>
      <c r="H1576" s="72"/>
      <c r="I1576" s="72"/>
      <c r="J1576" s="72"/>
    </row>
    <row r="1577" spans="1:10" ht="15" x14ac:dyDescent="0.2">
      <c r="A1577" s="72"/>
      <c r="B1577" s="72"/>
      <c r="C1577" s="72"/>
      <c r="D1577" s="72"/>
      <c r="E1577" s="72"/>
      <c r="F1577" s="72"/>
      <c r="G1577" s="72"/>
      <c r="H1577" s="72"/>
      <c r="I1577" s="72"/>
      <c r="J1577" s="72"/>
    </row>
    <row r="1578" spans="1:10" ht="15" x14ac:dyDescent="0.2">
      <c r="A1578" s="72"/>
      <c r="B1578" s="72"/>
      <c r="C1578" s="72"/>
      <c r="D1578" s="72"/>
      <c r="E1578" s="72"/>
      <c r="F1578" s="72"/>
      <c r="G1578" s="72"/>
      <c r="H1578" s="72"/>
      <c r="I1578" s="72"/>
      <c r="J1578" s="72"/>
    </row>
    <row r="1579" spans="1:10" ht="15" x14ac:dyDescent="0.2">
      <c r="A1579" s="72"/>
      <c r="B1579" s="72"/>
      <c r="C1579" s="72"/>
      <c r="D1579" s="72"/>
      <c r="E1579" s="72"/>
      <c r="F1579" s="72"/>
      <c r="G1579" s="72"/>
      <c r="H1579" s="72"/>
      <c r="I1579" s="72"/>
      <c r="J1579" s="72"/>
    </row>
    <row r="1580" spans="1:10" ht="15" x14ac:dyDescent="0.2">
      <c r="A1580" s="72"/>
      <c r="B1580" s="72"/>
      <c r="C1580" s="72"/>
      <c r="D1580" s="72"/>
      <c r="E1580" s="72"/>
      <c r="F1580" s="72"/>
      <c r="G1580" s="72"/>
      <c r="H1580" s="72"/>
      <c r="I1580" s="72"/>
      <c r="J1580" s="72"/>
    </row>
    <row r="1581" spans="1:10" ht="15" x14ac:dyDescent="0.2">
      <c r="A1581" s="72"/>
      <c r="B1581" s="72"/>
      <c r="C1581" s="72"/>
      <c r="D1581" s="72"/>
      <c r="E1581" s="72"/>
      <c r="F1581" s="72"/>
      <c r="G1581" s="72"/>
      <c r="H1581" s="72"/>
      <c r="I1581" s="72"/>
      <c r="J1581" s="72"/>
    </row>
    <row r="1582" spans="1:10" ht="15" x14ac:dyDescent="0.2">
      <c r="A1582" s="72"/>
      <c r="B1582" s="72"/>
      <c r="C1582" s="72"/>
      <c r="D1582" s="72"/>
      <c r="E1582" s="72"/>
      <c r="F1582" s="72"/>
      <c r="G1582" s="72"/>
      <c r="H1582" s="72"/>
      <c r="I1582" s="72"/>
      <c r="J1582" s="72"/>
    </row>
    <row r="1583" spans="1:10" ht="15" x14ac:dyDescent="0.2">
      <c r="A1583" s="72"/>
      <c r="B1583" s="72"/>
      <c r="C1583" s="72"/>
      <c r="D1583" s="72"/>
      <c r="E1583" s="72"/>
      <c r="F1583" s="72"/>
      <c r="G1583" s="72"/>
      <c r="H1583" s="72"/>
      <c r="I1583" s="72"/>
      <c r="J1583" s="72"/>
    </row>
    <row r="1584" spans="1:10" ht="15" x14ac:dyDescent="0.2">
      <c r="A1584" s="72"/>
      <c r="B1584" s="72"/>
      <c r="C1584" s="72"/>
      <c r="D1584" s="72"/>
      <c r="E1584" s="72"/>
      <c r="F1584" s="72"/>
      <c r="G1584" s="72"/>
      <c r="H1584" s="72"/>
      <c r="I1584" s="72"/>
      <c r="J1584" s="72"/>
    </row>
    <row r="1585" spans="1:10" ht="15" x14ac:dyDescent="0.2">
      <c r="A1585" s="72"/>
      <c r="B1585" s="72"/>
      <c r="C1585" s="72"/>
      <c r="D1585" s="72"/>
      <c r="E1585" s="72"/>
      <c r="F1585" s="72"/>
      <c r="G1585" s="72"/>
      <c r="H1585" s="72"/>
      <c r="I1585" s="72"/>
      <c r="J1585" s="72"/>
    </row>
    <row r="1586" spans="1:10" ht="15" x14ac:dyDescent="0.2">
      <c r="A1586" s="72"/>
      <c r="B1586" s="72"/>
      <c r="C1586" s="72"/>
      <c r="D1586" s="72"/>
      <c r="E1586" s="72"/>
      <c r="F1586" s="72"/>
      <c r="G1586" s="72"/>
      <c r="H1586" s="72"/>
      <c r="I1586" s="72"/>
      <c r="J1586" s="72"/>
    </row>
    <row r="1587" spans="1:10" ht="15" x14ac:dyDescent="0.2">
      <c r="A1587" s="72"/>
      <c r="B1587" s="72"/>
      <c r="C1587" s="72"/>
      <c r="D1587" s="72"/>
      <c r="E1587" s="72"/>
      <c r="F1587" s="72"/>
      <c r="G1587" s="72"/>
      <c r="H1587" s="72"/>
      <c r="I1587" s="72"/>
      <c r="J1587" s="72"/>
    </row>
    <row r="1588" spans="1:10" ht="15" x14ac:dyDescent="0.2">
      <c r="A1588" s="72"/>
      <c r="B1588" s="72"/>
      <c r="C1588" s="72"/>
      <c r="D1588" s="72"/>
      <c r="E1588" s="72"/>
      <c r="F1588" s="72"/>
      <c r="G1588" s="72"/>
      <c r="H1588" s="72"/>
      <c r="I1588" s="72"/>
      <c r="J1588" s="72"/>
    </row>
    <row r="1589" spans="1:10" ht="15" x14ac:dyDescent="0.2">
      <c r="A1589" s="72"/>
      <c r="B1589" s="72"/>
      <c r="C1589" s="72"/>
      <c r="D1589" s="72"/>
      <c r="E1589" s="72"/>
      <c r="F1589" s="72"/>
      <c r="G1589" s="72"/>
      <c r="H1589" s="72"/>
      <c r="I1589" s="72"/>
      <c r="J1589" s="72"/>
    </row>
    <row r="1590" spans="1:10" ht="15" x14ac:dyDescent="0.2">
      <c r="A1590" s="72"/>
      <c r="B1590" s="72"/>
      <c r="C1590" s="72"/>
      <c r="D1590" s="72"/>
      <c r="E1590" s="72"/>
      <c r="F1590" s="72"/>
      <c r="G1590" s="72"/>
      <c r="H1590" s="72"/>
      <c r="I1590" s="72"/>
      <c r="J1590" s="72"/>
    </row>
    <row r="1591" spans="1:10" ht="15" x14ac:dyDescent="0.2">
      <c r="A1591" s="72"/>
      <c r="B1591" s="72"/>
      <c r="C1591" s="72"/>
      <c r="D1591" s="72"/>
      <c r="E1591" s="72"/>
      <c r="F1591" s="72"/>
      <c r="G1591" s="72"/>
      <c r="H1591" s="72"/>
      <c r="I1591" s="72"/>
      <c r="J1591" s="72"/>
    </row>
    <row r="1592" spans="1:10" ht="15" x14ac:dyDescent="0.2">
      <c r="A1592" s="72"/>
      <c r="B1592" s="72"/>
      <c r="C1592" s="72"/>
      <c r="D1592" s="72"/>
      <c r="E1592" s="72"/>
      <c r="F1592" s="72"/>
      <c r="G1592" s="72"/>
      <c r="H1592" s="72"/>
      <c r="I1592" s="72"/>
      <c r="J1592" s="72"/>
    </row>
    <row r="1593" spans="1:10" ht="15" x14ac:dyDescent="0.2">
      <c r="A1593" s="72"/>
      <c r="B1593" s="72"/>
      <c r="C1593" s="72"/>
      <c r="D1593" s="72"/>
      <c r="E1593" s="72"/>
      <c r="F1593" s="72"/>
      <c r="G1593" s="72"/>
      <c r="H1593" s="72"/>
      <c r="I1593" s="72"/>
      <c r="J1593" s="72"/>
    </row>
    <row r="1594" spans="1:10" ht="15" x14ac:dyDescent="0.2">
      <c r="A1594" s="72"/>
      <c r="B1594" s="72"/>
      <c r="C1594" s="72"/>
      <c r="D1594" s="72"/>
      <c r="E1594" s="72"/>
      <c r="F1594" s="72"/>
      <c r="G1594" s="72"/>
      <c r="H1594" s="72"/>
      <c r="I1594" s="72"/>
      <c r="J1594" s="72"/>
    </row>
    <row r="1595" spans="1:10" ht="15" x14ac:dyDescent="0.2">
      <c r="A1595" s="72"/>
      <c r="B1595" s="72"/>
      <c r="C1595" s="72"/>
      <c r="D1595" s="72"/>
      <c r="E1595" s="72"/>
      <c r="F1595" s="72"/>
      <c r="G1595" s="72"/>
      <c r="H1595" s="72"/>
      <c r="I1595" s="72"/>
      <c r="J1595" s="72"/>
    </row>
    <row r="1596" spans="1:10" ht="15" x14ac:dyDescent="0.2">
      <c r="A1596" s="72"/>
      <c r="B1596" s="72"/>
      <c r="C1596" s="72"/>
      <c r="D1596" s="72"/>
      <c r="E1596" s="72"/>
      <c r="F1596" s="72"/>
      <c r="G1596" s="72"/>
      <c r="H1596" s="72"/>
      <c r="I1596" s="72"/>
      <c r="J1596" s="72"/>
    </row>
    <row r="1597" spans="1:10" ht="15" x14ac:dyDescent="0.2">
      <c r="A1597" s="72"/>
      <c r="B1597" s="72"/>
      <c r="C1597" s="72"/>
      <c r="D1597" s="72"/>
      <c r="E1597" s="72"/>
      <c r="F1597" s="72"/>
      <c r="G1597" s="72"/>
      <c r="H1597" s="72"/>
      <c r="I1597" s="72"/>
      <c r="J1597" s="72"/>
    </row>
    <row r="1598" spans="1:10" ht="15" x14ac:dyDescent="0.2">
      <c r="A1598" s="72"/>
      <c r="B1598" s="72"/>
      <c r="C1598" s="72"/>
      <c r="D1598" s="72"/>
      <c r="E1598" s="72"/>
      <c r="F1598" s="72"/>
      <c r="G1598" s="72"/>
      <c r="H1598" s="72"/>
      <c r="I1598" s="72"/>
      <c r="J1598" s="72"/>
    </row>
    <row r="1599" spans="1:10" ht="15" x14ac:dyDescent="0.2">
      <c r="A1599" s="72"/>
      <c r="B1599" s="72"/>
      <c r="C1599" s="72"/>
      <c r="D1599" s="72"/>
      <c r="E1599" s="72"/>
      <c r="F1599" s="72"/>
      <c r="G1599" s="72"/>
      <c r="H1599" s="72"/>
      <c r="I1599" s="72"/>
      <c r="J1599" s="72"/>
    </row>
    <row r="1600" spans="1:10" ht="15" x14ac:dyDescent="0.2">
      <c r="A1600" s="72"/>
      <c r="B1600" s="72"/>
      <c r="C1600" s="72"/>
      <c r="D1600" s="72"/>
      <c r="E1600" s="72"/>
      <c r="F1600" s="72"/>
      <c r="G1600" s="72"/>
      <c r="H1600" s="72"/>
      <c r="I1600" s="72"/>
      <c r="J1600" s="72"/>
    </row>
    <row r="1601" spans="1:10" ht="15" x14ac:dyDescent="0.2">
      <c r="A1601" s="72"/>
      <c r="B1601" s="72"/>
      <c r="C1601" s="72"/>
      <c r="D1601" s="72"/>
      <c r="E1601" s="72"/>
      <c r="F1601" s="72"/>
      <c r="G1601" s="72"/>
      <c r="H1601" s="72"/>
      <c r="I1601" s="72"/>
      <c r="J1601" s="72"/>
    </row>
    <row r="1602" spans="1:10" ht="15" x14ac:dyDescent="0.2">
      <c r="A1602" s="72"/>
      <c r="B1602" s="72"/>
      <c r="C1602" s="72"/>
      <c r="D1602" s="72"/>
      <c r="E1602" s="72"/>
      <c r="F1602" s="72"/>
      <c r="G1602" s="72"/>
      <c r="H1602" s="72"/>
      <c r="I1602" s="72"/>
      <c r="J1602" s="72"/>
    </row>
    <row r="1603" spans="1:10" ht="15" x14ac:dyDescent="0.2">
      <c r="A1603" s="72"/>
      <c r="B1603" s="72"/>
      <c r="C1603" s="72"/>
      <c r="D1603" s="72"/>
      <c r="E1603" s="72"/>
      <c r="F1603" s="72"/>
      <c r="G1603" s="72"/>
      <c r="H1603" s="72"/>
      <c r="I1603" s="72"/>
      <c r="J1603" s="72"/>
    </row>
    <row r="1604" spans="1:10" ht="15" x14ac:dyDescent="0.2">
      <c r="A1604" s="72"/>
      <c r="B1604" s="72"/>
      <c r="C1604" s="72"/>
      <c r="D1604" s="72"/>
      <c r="E1604" s="72"/>
      <c r="F1604" s="72"/>
      <c r="G1604" s="72"/>
      <c r="H1604" s="72"/>
      <c r="I1604" s="72"/>
      <c r="J1604" s="72"/>
    </row>
    <row r="1605" spans="1:10" ht="15" x14ac:dyDescent="0.2">
      <c r="A1605" s="72"/>
      <c r="B1605" s="72"/>
      <c r="C1605" s="72"/>
      <c r="D1605" s="72"/>
      <c r="E1605" s="72"/>
      <c r="F1605" s="72"/>
      <c r="G1605" s="72"/>
      <c r="H1605" s="72"/>
      <c r="I1605" s="72"/>
      <c r="J1605" s="72"/>
    </row>
    <row r="1606" spans="1:10" ht="15" x14ac:dyDescent="0.2">
      <c r="A1606" s="72"/>
      <c r="B1606" s="72"/>
      <c r="C1606" s="72"/>
      <c r="D1606" s="72"/>
      <c r="E1606" s="72"/>
      <c r="F1606" s="72"/>
      <c r="G1606" s="72"/>
      <c r="H1606" s="72"/>
      <c r="I1606" s="72"/>
      <c r="J1606" s="72"/>
    </row>
    <row r="1607" spans="1:10" ht="15" x14ac:dyDescent="0.2">
      <c r="A1607" s="72"/>
      <c r="B1607" s="72"/>
      <c r="C1607" s="72"/>
      <c r="D1607" s="72"/>
      <c r="E1607" s="72"/>
      <c r="F1607" s="72"/>
      <c r="G1607" s="72"/>
      <c r="H1607" s="72"/>
      <c r="I1607" s="72"/>
      <c r="J1607" s="72"/>
    </row>
    <row r="1608" spans="1:10" ht="15" x14ac:dyDescent="0.2">
      <c r="A1608" s="72"/>
      <c r="B1608" s="72"/>
      <c r="C1608" s="72"/>
      <c r="D1608" s="72"/>
      <c r="E1608" s="72"/>
      <c r="F1608" s="72"/>
      <c r="G1608" s="72"/>
      <c r="H1608" s="72"/>
      <c r="I1608" s="72"/>
      <c r="J1608" s="72"/>
    </row>
    <row r="1609" spans="1:10" ht="15" x14ac:dyDescent="0.2">
      <c r="A1609" s="72"/>
      <c r="B1609" s="72"/>
      <c r="C1609" s="72"/>
      <c r="D1609" s="72"/>
      <c r="E1609" s="72"/>
      <c r="F1609" s="72"/>
      <c r="G1609" s="72"/>
      <c r="H1609" s="72"/>
      <c r="I1609" s="72"/>
      <c r="J1609" s="72"/>
    </row>
    <row r="1610" spans="1:10" ht="15" x14ac:dyDescent="0.2">
      <c r="A1610" s="72"/>
      <c r="B1610" s="72"/>
      <c r="C1610" s="72"/>
      <c r="D1610" s="72"/>
      <c r="E1610" s="72"/>
      <c r="F1610" s="72"/>
      <c r="G1610" s="72"/>
      <c r="H1610" s="72"/>
      <c r="I1610" s="72"/>
      <c r="J1610" s="72"/>
    </row>
    <row r="1611" spans="1:10" ht="15" x14ac:dyDescent="0.2">
      <c r="A1611" s="72"/>
      <c r="B1611" s="72"/>
      <c r="C1611" s="72"/>
      <c r="D1611" s="72"/>
      <c r="E1611" s="72"/>
      <c r="F1611" s="72"/>
      <c r="G1611" s="72"/>
      <c r="H1611" s="72"/>
      <c r="I1611" s="72"/>
      <c r="J1611" s="72"/>
    </row>
    <row r="1612" spans="1:10" ht="15" x14ac:dyDescent="0.2">
      <c r="A1612" s="72"/>
      <c r="B1612" s="72"/>
      <c r="C1612" s="72"/>
      <c r="D1612" s="72"/>
      <c r="E1612" s="72"/>
      <c r="F1612" s="72"/>
      <c r="G1612" s="72"/>
      <c r="H1612" s="72"/>
      <c r="I1612" s="72"/>
      <c r="J1612" s="72"/>
    </row>
    <row r="1613" spans="1:10" ht="15" x14ac:dyDescent="0.2">
      <c r="A1613" s="72"/>
      <c r="B1613" s="72"/>
      <c r="C1613" s="72"/>
      <c r="D1613" s="72"/>
      <c r="E1613" s="72"/>
      <c r="F1613" s="72"/>
      <c r="G1613" s="72"/>
      <c r="H1613" s="72"/>
      <c r="I1613" s="72"/>
      <c r="J1613" s="72"/>
    </row>
    <row r="1614" spans="1:10" ht="15" x14ac:dyDescent="0.2">
      <c r="A1614" s="72"/>
      <c r="B1614" s="72"/>
      <c r="C1614" s="72"/>
      <c r="D1614" s="72"/>
      <c r="E1614" s="72"/>
      <c r="F1614" s="72"/>
      <c r="G1614" s="72"/>
      <c r="H1614" s="72"/>
      <c r="I1614" s="72"/>
      <c r="J1614" s="72"/>
    </row>
    <row r="1615" spans="1:10" ht="15" x14ac:dyDescent="0.2">
      <c r="A1615" s="72"/>
      <c r="B1615" s="72"/>
      <c r="C1615" s="72"/>
      <c r="D1615" s="72"/>
      <c r="E1615" s="72"/>
      <c r="F1615" s="72"/>
      <c r="G1615" s="72"/>
      <c r="H1615" s="72"/>
      <c r="I1615" s="72"/>
      <c r="J1615" s="72"/>
    </row>
    <row r="1616" spans="1:10" ht="15" x14ac:dyDescent="0.2">
      <c r="A1616" s="72"/>
      <c r="B1616" s="72"/>
      <c r="C1616" s="72"/>
      <c r="D1616" s="72"/>
      <c r="E1616" s="72"/>
      <c r="F1616" s="72"/>
      <c r="G1616" s="72"/>
      <c r="H1616" s="72"/>
      <c r="I1616" s="72"/>
      <c r="J1616" s="72"/>
    </row>
    <row r="1617" spans="1:10" ht="15" x14ac:dyDescent="0.2">
      <c r="A1617" s="72"/>
      <c r="B1617" s="72"/>
      <c r="C1617" s="72"/>
      <c r="D1617" s="72"/>
      <c r="E1617" s="72"/>
      <c r="F1617" s="72"/>
      <c r="G1617" s="72"/>
      <c r="H1617" s="72"/>
      <c r="I1617" s="72"/>
      <c r="J1617" s="72"/>
    </row>
    <row r="1618" spans="1:10" ht="15" x14ac:dyDescent="0.2">
      <c r="A1618" s="72"/>
      <c r="B1618" s="72"/>
      <c r="C1618" s="72"/>
      <c r="D1618" s="72"/>
      <c r="E1618" s="72"/>
      <c r="F1618" s="72"/>
      <c r="G1618" s="72"/>
      <c r="H1618" s="72"/>
      <c r="I1618" s="72"/>
      <c r="J1618" s="72"/>
    </row>
    <row r="1619" spans="1:10" ht="15" x14ac:dyDescent="0.2">
      <c r="A1619" s="72"/>
      <c r="B1619" s="72"/>
      <c r="C1619" s="72"/>
      <c r="D1619" s="72"/>
      <c r="E1619" s="72"/>
      <c r="F1619" s="72"/>
      <c r="G1619" s="72"/>
      <c r="H1619" s="72"/>
      <c r="I1619" s="72"/>
      <c r="J1619" s="72"/>
    </row>
    <row r="1620" spans="1:10" ht="15" x14ac:dyDescent="0.2">
      <c r="A1620" s="72"/>
      <c r="B1620" s="72"/>
      <c r="C1620" s="72"/>
      <c r="D1620" s="72"/>
      <c r="E1620" s="72"/>
      <c r="F1620" s="72"/>
      <c r="G1620" s="72"/>
      <c r="H1620" s="72"/>
      <c r="I1620" s="72"/>
      <c r="J1620" s="72"/>
    </row>
    <row r="1621" spans="1:10" ht="15" x14ac:dyDescent="0.2">
      <c r="A1621" s="72"/>
      <c r="B1621" s="72"/>
      <c r="C1621" s="72"/>
      <c r="D1621" s="72"/>
      <c r="E1621" s="72"/>
      <c r="F1621" s="72"/>
      <c r="G1621" s="72"/>
      <c r="H1621" s="72"/>
      <c r="I1621" s="72"/>
      <c r="J1621" s="72"/>
    </row>
    <row r="1622" spans="1:10" ht="15" x14ac:dyDescent="0.2">
      <c r="A1622" s="72"/>
      <c r="B1622" s="72"/>
      <c r="C1622" s="72"/>
      <c r="D1622" s="72"/>
      <c r="E1622" s="72"/>
      <c r="F1622" s="72"/>
      <c r="G1622" s="72"/>
      <c r="H1622" s="72"/>
      <c r="I1622" s="72"/>
      <c r="J1622" s="72"/>
    </row>
    <row r="1623" spans="1:10" ht="15" x14ac:dyDescent="0.2">
      <c r="A1623" s="72"/>
      <c r="B1623" s="72"/>
      <c r="C1623" s="72"/>
      <c r="D1623" s="72"/>
      <c r="E1623" s="72"/>
      <c r="F1623" s="72"/>
      <c r="G1623" s="72"/>
      <c r="H1623" s="72"/>
      <c r="I1623" s="72"/>
      <c r="J1623" s="72"/>
    </row>
    <row r="1624" spans="1:10" ht="15" x14ac:dyDescent="0.2">
      <c r="A1624" s="72"/>
      <c r="B1624" s="72"/>
      <c r="C1624" s="72"/>
      <c r="D1624" s="72"/>
      <c r="E1624" s="72"/>
      <c r="F1624" s="72"/>
      <c r="G1624" s="72"/>
      <c r="H1624" s="72"/>
      <c r="I1624" s="72"/>
      <c r="J1624" s="72"/>
    </row>
    <row r="1625" spans="1:10" ht="15" x14ac:dyDescent="0.2">
      <c r="A1625" s="72"/>
      <c r="B1625" s="72"/>
      <c r="C1625" s="72"/>
      <c r="D1625" s="72"/>
      <c r="E1625" s="72"/>
      <c r="F1625" s="72"/>
      <c r="G1625" s="72"/>
      <c r="H1625" s="72"/>
      <c r="I1625" s="72"/>
      <c r="J1625" s="72"/>
    </row>
    <row r="1626" spans="1:10" ht="15" x14ac:dyDescent="0.2">
      <c r="A1626" s="72"/>
      <c r="B1626" s="72"/>
      <c r="C1626" s="72"/>
      <c r="D1626" s="72"/>
      <c r="E1626" s="72"/>
      <c r="F1626" s="72"/>
      <c r="G1626" s="72"/>
      <c r="H1626" s="72"/>
      <c r="I1626" s="72"/>
      <c r="J1626" s="72"/>
    </row>
    <row r="1627" spans="1:10" ht="15" x14ac:dyDescent="0.2">
      <c r="A1627" s="72"/>
      <c r="B1627" s="72"/>
      <c r="C1627" s="72"/>
      <c r="D1627" s="72"/>
      <c r="E1627" s="72"/>
      <c r="F1627" s="72"/>
      <c r="G1627" s="72"/>
      <c r="H1627" s="72"/>
      <c r="I1627" s="72"/>
      <c r="J1627" s="72"/>
    </row>
    <row r="1628" spans="1:10" ht="15" x14ac:dyDescent="0.2">
      <c r="A1628" s="72"/>
      <c r="B1628" s="72"/>
      <c r="C1628" s="72"/>
      <c r="D1628" s="72"/>
      <c r="E1628" s="72"/>
      <c r="F1628" s="72"/>
      <c r="G1628" s="72"/>
      <c r="H1628" s="72"/>
      <c r="I1628" s="72"/>
      <c r="J1628" s="72"/>
    </row>
    <row r="1629" spans="1:10" ht="15" x14ac:dyDescent="0.2">
      <c r="A1629" s="72"/>
      <c r="B1629" s="72"/>
      <c r="C1629" s="72"/>
      <c r="D1629" s="72"/>
      <c r="E1629" s="72"/>
      <c r="F1629" s="72"/>
      <c r="G1629" s="72"/>
      <c r="H1629" s="72"/>
      <c r="I1629" s="72"/>
      <c r="J1629" s="72"/>
    </row>
    <row r="1630" spans="1:10" ht="15" x14ac:dyDescent="0.2">
      <c r="A1630" s="72"/>
      <c r="B1630" s="72"/>
      <c r="C1630" s="72"/>
      <c r="D1630" s="72"/>
      <c r="E1630" s="72"/>
      <c r="F1630" s="72"/>
      <c r="G1630" s="72"/>
      <c r="H1630" s="72"/>
      <c r="I1630" s="72"/>
      <c r="J1630" s="72"/>
    </row>
    <row r="1631" spans="1:10" ht="15" x14ac:dyDescent="0.2">
      <c r="A1631" s="72"/>
      <c r="B1631" s="72"/>
      <c r="C1631" s="72"/>
      <c r="D1631" s="72"/>
      <c r="E1631" s="72"/>
      <c r="F1631" s="72"/>
      <c r="G1631" s="72"/>
      <c r="H1631" s="72"/>
      <c r="I1631" s="72"/>
      <c r="J1631" s="72"/>
    </row>
    <row r="1632" spans="1:10" ht="15" x14ac:dyDescent="0.2">
      <c r="A1632" s="72"/>
      <c r="B1632" s="72"/>
      <c r="C1632" s="72"/>
      <c r="D1632" s="72"/>
      <c r="E1632" s="72"/>
      <c r="F1632" s="72"/>
      <c r="G1632" s="72"/>
      <c r="H1632" s="72"/>
      <c r="I1632" s="72"/>
      <c r="J1632" s="72"/>
    </row>
    <row r="1633" spans="1:10" ht="15" x14ac:dyDescent="0.2">
      <c r="A1633" s="72"/>
      <c r="B1633" s="72"/>
      <c r="C1633" s="72"/>
      <c r="D1633" s="72"/>
      <c r="E1633" s="72"/>
      <c r="F1633" s="72"/>
      <c r="G1633" s="72"/>
      <c r="H1633" s="72"/>
      <c r="I1633" s="72"/>
      <c r="J1633" s="72"/>
    </row>
    <row r="1634" spans="1:10" ht="15" x14ac:dyDescent="0.2">
      <c r="A1634" s="72"/>
      <c r="B1634" s="72"/>
      <c r="C1634" s="72"/>
      <c r="D1634" s="72"/>
      <c r="E1634" s="72"/>
      <c r="F1634" s="72"/>
      <c r="G1634" s="72"/>
      <c r="H1634" s="72"/>
      <c r="I1634" s="72"/>
      <c r="J1634" s="72"/>
    </row>
    <row r="1635" spans="1:10" ht="15" x14ac:dyDescent="0.2">
      <c r="A1635" s="72"/>
      <c r="B1635" s="72"/>
      <c r="C1635" s="72"/>
      <c r="D1635" s="72"/>
      <c r="E1635" s="72"/>
      <c r="F1635" s="72"/>
      <c r="G1635" s="72"/>
      <c r="H1635" s="72"/>
      <c r="I1635" s="72"/>
      <c r="J1635" s="72"/>
    </row>
    <row r="1636" spans="1:10" ht="15" x14ac:dyDescent="0.2">
      <c r="A1636" s="72"/>
      <c r="B1636" s="72"/>
      <c r="C1636" s="72"/>
      <c r="D1636" s="72"/>
      <c r="E1636" s="72"/>
      <c r="F1636" s="72"/>
      <c r="G1636" s="72"/>
      <c r="H1636" s="72"/>
      <c r="I1636" s="72"/>
      <c r="J1636" s="72"/>
    </row>
    <row r="1637" spans="1:10" ht="15" x14ac:dyDescent="0.2">
      <c r="A1637" s="72"/>
      <c r="B1637" s="72"/>
      <c r="C1637" s="72"/>
      <c r="D1637" s="72"/>
      <c r="E1637" s="72"/>
      <c r="F1637" s="72"/>
      <c r="G1637" s="72"/>
      <c r="H1637" s="72"/>
      <c r="I1637" s="72"/>
      <c r="J1637" s="72"/>
    </row>
    <row r="1638" spans="1:10" ht="15" x14ac:dyDescent="0.2">
      <c r="A1638" s="72"/>
      <c r="B1638" s="72"/>
      <c r="C1638" s="72"/>
      <c r="D1638" s="72"/>
      <c r="E1638" s="72"/>
      <c r="F1638" s="72"/>
      <c r="G1638" s="72"/>
      <c r="H1638" s="72"/>
      <c r="I1638" s="72"/>
      <c r="J1638" s="72"/>
    </row>
    <row r="1639" spans="1:10" ht="15" x14ac:dyDescent="0.2">
      <c r="A1639" s="72"/>
      <c r="B1639" s="72"/>
      <c r="C1639" s="72"/>
      <c r="D1639" s="72"/>
      <c r="E1639" s="72"/>
      <c r="F1639" s="72"/>
      <c r="G1639" s="72"/>
      <c r="H1639" s="72"/>
      <c r="I1639" s="72"/>
      <c r="J1639" s="72"/>
    </row>
    <row r="1640" spans="1:10" ht="15" x14ac:dyDescent="0.2">
      <c r="A1640" s="72"/>
      <c r="B1640" s="72"/>
      <c r="C1640" s="72"/>
      <c r="D1640" s="72"/>
      <c r="E1640" s="72"/>
      <c r="F1640" s="72"/>
      <c r="G1640" s="72"/>
      <c r="H1640" s="72"/>
      <c r="I1640" s="72"/>
      <c r="J1640" s="72"/>
    </row>
    <row r="1641" spans="1:10" ht="15" x14ac:dyDescent="0.2">
      <c r="A1641" s="72"/>
      <c r="B1641" s="72"/>
      <c r="C1641" s="72"/>
      <c r="D1641" s="72"/>
      <c r="E1641" s="72"/>
      <c r="F1641" s="72"/>
      <c r="G1641" s="72"/>
      <c r="H1641" s="72"/>
      <c r="I1641" s="72"/>
      <c r="J1641" s="72"/>
    </row>
    <row r="1642" spans="1:10" ht="15" x14ac:dyDescent="0.2">
      <c r="A1642" s="72"/>
      <c r="B1642" s="72"/>
      <c r="C1642" s="72"/>
      <c r="D1642" s="72"/>
      <c r="E1642" s="72"/>
      <c r="F1642" s="72"/>
      <c r="G1642" s="72"/>
      <c r="H1642" s="72"/>
      <c r="I1642" s="72"/>
      <c r="J1642" s="72"/>
    </row>
    <row r="1643" spans="1:10" ht="15" x14ac:dyDescent="0.2">
      <c r="A1643" s="72"/>
      <c r="B1643" s="72"/>
      <c r="C1643" s="72"/>
      <c r="D1643" s="72"/>
      <c r="E1643" s="72"/>
      <c r="F1643" s="72"/>
      <c r="G1643" s="72"/>
      <c r="H1643" s="72"/>
      <c r="I1643" s="72"/>
      <c r="J1643" s="72"/>
    </row>
    <row r="1644" spans="1:10" ht="15" x14ac:dyDescent="0.2">
      <c r="A1644" s="72"/>
      <c r="B1644" s="72"/>
      <c r="C1644" s="72"/>
      <c r="D1644" s="72"/>
      <c r="E1644" s="72"/>
      <c r="F1644" s="72"/>
      <c r="G1644" s="72"/>
      <c r="H1644" s="72"/>
      <c r="I1644" s="72"/>
      <c r="J1644" s="72"/>
    </row>
    <row r="1645" spans="1:10" ht="15" x14ac:dyDescent="0.2">
      <c r="A1645" s="72"/>
      <c r="B1645" s="72"/>
      <c r="C1645" s="72"/>
      <c r="D1645" s="72"/>
      <c r="E1645" s="72"/>
      <c r="F1645" s="72"/>
      <c r="G1645" s="72"/>
      <c r="H1645" s="72"/>
      <c r="I1645" s="72"/>
      <c r="J1645" s="72"/>
    </row>
    <row r="1646" spans="1:10" ht="15" x14ac:dyDescent="0.2">
      <c r="A1646" s="72"/>
      <c r="B1646" s="72"/>
      <c r="C1646" s="72"/>
      <c r="D1646" s="72"/>
      <c r="E1646" s="72"/>
      <c r="F1646" s="72"/>
      <c r="G1646" s="72"/>
      <c r="H1646" s="72"/>
      <c r="I1646" s="72"/>
      <c r="J1646" s="72"/>
    </row>
    <row r="1647" spans="1:10" ht="15" x14ac:dyDescent="0.2">
      <c r="A1647" s="72"/>
      <c r="B1647" s="72"/>
      <c r="C1647" s="72"/>
      <c r="D1647" s="72"/>
      <c r="E1647" s="72"/>
      <c r="F1647" s="72"/>
      <c r="G1647" s="72"/>
      <c r="H1647" s="72"/>
      <c r="I1647" s="72"/>
      <c r="J1647" s="72"/>
    </row>
    <row r="1648" spans="1:10" ht="15" x14ac:dyDescent="0.2">
      <c r="A1648" s="72"/>
      <c r="B1648" s="72"/>
      <c r="C1648" s="72"/>
      <c r="D1648" s="72"/>
      <c r="E1648" s="72"/>
      <c r="F1648" s="72"/>
      <c r="G1648" s="72"/>
      <c r="H1648" s="72"/>
      <c r="I1648" s="72"/>
      <c r="J1648" s="72"/>
    </row>
    <row r="1649" spans="1:10" ht="15" x14ac:dyDescent="0.2">
      <c r="A1649" s="72"/>
      <c r="B1649" s="72"/>
      <c r="C1649" s="72"/>
      <c r="D1649" s="72"/>
      <c r="E1649" s="72"/>
      <c r="F1649" s="72"/>
      <c r="G1649" s="72"/>
      <c r="H1649" s="72"/>
      <c r="I1649" s="72"/>
      <c r="J1649" s="72"/>
    </row>
    <row r="1650" spans="1:10" ht="15" x14ac:dyDescent="0.2">
      <c r="A1650" s="72"/>
      <c r="B1650" s="72"/>
      <c r="C1650" s="72"/>
      <c r="D1650" s="72"/>
      <c r="E1650" s="72"/>
      <c r="F1650" s="72"/>
      <c r="G1650" s="72"/>
      <c r="H1650" s="72"/>
      <c r="I1650" s="72"/>
      <c r="J1650" s="72"/>
    </row>
    <row r="1651" spans="1:10" ht="15" x14ac:dyDescent="0.2">
      <c r="A1651" s="72"/>
      <c r="B1651" s="72"/>
      <c r="C1651" s="72"/>
      <c r="D1651" s="72"/>
      <c r="E1651" s="72"/>
      <c r="F1651" s="72"/>
      <c r="G1651" s="72"/>
      <c r="H1651" s="72"/>
      <c r="I1651" s="72"/>
      <c r="J1651" s="72"/>
    </row>
    <row r="1652" spans="1:10" ht="15" x14ac:dyDescent="0.2">
      <c r="A1652" s="72"/>
      <c r="B1652" s="72"/>
      <c r="C1652" s="72"/>
      <c r="D1652" s="72"/>
      <c r="E1652" s="72"/>
      <c r="F1652" s="72"/>
      <c r="G1652" s="72"/>
      <c r="H1652" s="72"/>
      <c r="I1652" s="72"/>
      <c r="J1652" s="72"/>
    </row>
    <row r="1653" spans="1:10" ht="15" x14ac:dyDescent="0.2">
      <c r="A1653" s="72"/>
      <c r="B1653" s="72"/>
      <c r="C1653" s="72"/>
      <c r="D1653" s="72"/>
      <c r="E1653" s="72"/>
      <c r="F1653" s="72"/>
      <c r="G1653" s="72"/>
      <c r="H1653" s="72"/>
      <c r="I1653" s="72"/>
      <c r="J1653" s="72"/>
    </row>
    <row r="1654" spans="1:10" ht="15" x14ac:dyDescent="0.2">
      <c r="A1654" s="72"/>
      <c r="B1654" s="72"/>
      <c r="C1654" s="72"/>
      <c r="D1654" s="72"/>
      <c r="E1654" s="72"/>
      <c r="F1654" s="72"/>
      <c r="G1654" s="72"/>
      <c r="H1654" s="72"/>
      <c r="I1654" s="72"/>
      <c r="J1654" s="72"/>
    </row>
    <row r="1655" spans="1:10" ht="15" x14ac:dyDescent="0.2">
      <c r="A1655" s="72"/>
      <c r="B1655" s="72"/>
      <c r="C1655" s="72"/>
      <c r="D1655" s="72"/>
      <c r="E1655" s="72"/>
      <c r="F1655" s="72"/>
      <c r="G1655" s="72"/>
      <c r="H1655" s="72"/>
      <c r="I1655" s="72"/>
      <c r="J1655" s="72"/>
    </row>
    <row r="1656" spans="1:10" ht="15" x14ac:dyDescent="0.2">
      <c r="A1656" s="72"/>
      <c r="B1656" s="72"/>
      <c r="C1656" s="72"/>
      <c r="D1656" s="72"/>
      <c r="E1656" s="72"/>
      <c r="F1656" s="72"/>
      <c r="G1656" s="72"/>
      <c r="H1656" s="72"/>
      <c r="I1656" s="72"/>
      <c r="J1656" s="72"/>
    </row>
    <row r="1657" spans="1:10" ht="15" x14ac:dyDescent="0.2">
      <c r="A1657" s="72"/>
      <c r="B1657" s="72"/>
      <c r="C1657" s="72"/>
      <c r="D1657" s="72"/>
      <c r="E1657" s="72"/>
      <c r="F1657" s="72"/>
      <c r="G1657" s="72"/>
      <c r="H1657" s="72"/>
      <c r="I1657" s="72"/>
      <c r="J1657" s="72"/>
    </row>
    <row r="1658" spans="1:10" ht="15" x14ac:dyDescent="0.2">
      <c r="A1658" s="72"/>
      <c r="B1658" s="72"/>
      <c r="C1658" s="72"/>
      <c r="D1658" s="72"/>
      <c r="E1658" s="72"/>
      <c r="F1658" s="72"/>
      <c r="G1658" s="72"/>
      <c r="H1658" s="72"/>
      <c r="I1658" s="72"/>
      <c r="J1658" s="72"/>
    </row>
    <row r="1659" spans="1:10" ht="15" x14ac:dyDescent="0.2">
      <c r="A1659" s="72"/>
      <c r="B1659" s="72"/>
      <c r="C1659" s="72"/>
      <c r="D1659" s="72"/>
      <c r="E1659" s="72"/>
      <c r="F1659" s="72"/>
      <c r="G1659" s="72"/>
      <c r="H1659" s="72"/>
      <c r="I1659" s="72"/>
      <c r="J1659" s="72"/>
    </row>
    <row r="1660" spans="1:10" ht="15" x14ac:dyDescent="0.2">
      <c r="A1660" s="72"/>
      <c r="B1660" s="72"/>
      <c r="C1660" s="72"/>
      <c r="D1660" s="72"/>
      <c r="E1660" s="72"/>
      <c r="F1660" s="72"/>
      <c r="G1660" s="72"/>
      <c r="H1660" s="72"/>
      <c r="I1660" s="72"/>
      <c r="J1660" s="72"/>
    </row>
    <row r="1661" spans="1:10" ht="15" x14ac:dyDescent="0.2">
      <c r="A1661" s="72"/>
      <c r="B1661" s="72"/>
      <c r="C1661" s="72"/>
      <c r="D1661" s="72"/>
      <c r="E1661" s="72"/>
      <c r="F1661" s="72"/>
      <c r="G1661" s="72"/>
      <c r="H1661" s="72"/>
      <c r="I1661" s="72"/>
      <c r="J1661" s="72"/>
    </row>
    <row r="1662" spans="1:10" ht="15" x14ac:dyDescent="0.2">
      <c r="A1662" s="72"/>
      <c r="B1662" s="72"/>
      <c r="C1662" s="72"/>
      <c r="D1662" s="72"/>
      <c r="E1662" s="72"/>
      <c r="F1662" s="72"/>
      <c r="G1662" s="72"/>
      <c r="H1662" s="72"/>
      <c r="I1662" s="72"/>
      <c r="J1662" s="72"/>
    </row>
    <row r="1663" spans="1:10" ht="15" x14ac:dyDescent="0.2">
      <c r="A1663" s="72"/>
      <c r="B1663" s="72"/>
      <c r="C1663" s="72"/>
      <c r="D1663" s="72"/>
      <c r="E1663" s="72"/>
      <c r="F1663" s="72"/>
      <c r="G1663" s="72"/>
      <c r="H1663" s="72"/>
      <c r="I1663" s="72"/>
      <c r="J1663" s="72"/>
    </row>
    <row r="1664" spans="1:10" ht="15" x14ac:dyDescent="0.2">
      <c r="A1664" s="72"/>
      <c r="B1664" s="72"/>
      <c r="C1664" s="72"/>
      <c r="D1664" s="72"/>
      <c r="E1664" s="72"/>
      <c r="F1664" s="72"/>
      <c r="G1664" s="72"/>
      <c r="H1664" s="72"/>
      <c r="I1664" s="72"/>
      <c r="J1664" s="72"/>
    </row>
    <row r="1665" spans="1:10" ht="15" x14ac:dyDescent="0.2">
      <c r="A1665" s="72"/>
      <c r="B1665" s="72"/>
      <c r="C1665" s="72"/>
      <c r="D1665" s="72"/>
      <c r="E1665" s="72"/>
      <c r="F1665" s="72"/>
      <c r="G1665" s="72"/>
      <c r="H1665" s="72"/>
      <c r="I1665" s="72"/>
      <c r="J1665" s="72"/>
    </row>
    <row r="1666" spans="1:10" ht="15" x14ac:dyDescent="0.2">
      <c r="A1666" s="72"/>
      <c r="B1666" s="72"/>
      <c r="C1666" s="72"/>
      <c r="D1666" s="72"/>
      <c r="E1666" s="72"/>
      <c r="F1666" s="72"/>
      <c r="G1666" s="72"/>
      <c r="H1666" s="72"/>
      <c r="I1666" s="72"/>
      <c r="J1666" s="72"/>
    </row>
    <row r="1667" spans="1:10" ht="15" x14ac:dyDescent="0.2">
      <c r="A1667" s="72"/>
      <c r="B1667" s="72"/>
      <c r="C1667" s="72"/>
      <c r="D1667" s="72"/>
      <c r="E1667" s="72"/>
      <c r="F1667" s="72"/>
      <c r="G1667" s="72"/>
      <c r="H1667" s="72"/>
      <c r="I1667" s="72"/>
      <c r="J1667" s="72"/>
    </row>
    <row r="1668" spans="1:10" ht="15" x14ac:dyDescent="0.2">
      <c r="A1668" s="72"/>
      <c r="B1668" s="72"/>
      <c r="C1668" s="72"/>
      <c r="D1668" s="72"/>
      <c r="E1668" s="72"/>
      <c r="F1668" s="72"/>
      <c r="G1668" s="72"/>
      <c r="H1668" s="72"/>
      <c r="I1668" s="72"/>
      <c r="J1668" s="72"/>
    </row>
    <row r="1669" spans="1:10" ht="15" x14ac:dyDescent="0.2">
      <c r="A1669" s="72"/>
      <c r="B1669" s="72"/>
      <c r="C1669" s="72"/>
      <c r="D1669" s="72"/>
      <c r="E1669" s="72"/>
      <c r="F1669" s="72"/>
      <c r="G1669" s="72"/>
      <c r="H1669" s="72"/>
      <c r="I1669" s="72"/>
      <c r="J1669" s="72"/>
    </row>
    <row r="1670" spans="1:10" ht="15" x14ac:dyDescent="0.2">
      <c r="A1670" s="72"/>
      <c r="B1670" s="72"/>
      <c r="C1670" s="72"/>
      <c r="D1670" s="72"/>
      <c r="E1670" s="72"/>
      <c r="F1670" s="72"/>
      <c r="G1670" s="72"/>
      <c r="H1670" s="72"/>
      <c r="I1670" s="72"/>
      <c r="J1670" s="72"/>
    </row>
    <row r="1671" spans="1:10" ht="15" x14ac:dyDescent="0.2">
      <c r="A1671" s="72"/>
      <c r="B1671" s="72"/>
      <c r="C1671" s="72"/>
      <c r="D1671" s="72"/>
      <c r="E1671" s="72"/>
      <c r="F1671" s="72"/>
      <c r="G1671" s="72"/>
      <c r="H1671" s="72"/>
      <c r="I1671" s="72"/>
      <c r="J1671" s="72"/>
    </row>
    <row r="1672" spans="1:10" ht="15" x14ac:dyDescent="0.2">
      <c r="A1672" s="72"/>
      <c r="B1672" s="72"/>
      <c r="C1672" s="72"/>
      <c r="D1672" s="72"/>
      <c r="E1672" s="72"/>
      <c r="F1672" s="72"/>
      <c r="G1672" s="72"/>
      <c r="H1672" s="72"/>
      <c r="I1672" s="72"/>
      <c r="J1672" s="72"/>
    </row>
    <row r="1673" spans="1:10" ht="15" x14ac:dyDescent="0.2">
      <c r="A1673" s="72"/>
      <c r="B1673" s="72"/>
      <c r="C1673" s="72"/>
      <c r="D1673" s="72"/>
      <c r="E1673" s="72"/>
      <c r="F1673" s="72"/>
      <c r="G1673" s="72"/>
      <c r="H1673" s="72"/>
      <c r="I1673" s="72"/>
      <c r="J1673" s="72"/>
    </row>
    <row r="1674" spans="1:10" ht="15" x14ac:dyDescent="0.2">
      <c r="A1674" s="72"/>
      <c r="B1674" s="72"/>
      <c r="C1674" s="72"/>
      <c r="D1674" s="72"/>
      <c r="E1674" s="72"/>
      <c r="F1674" s="72"/>
      <c r="G1674" s="72"/>
      <c r="H1674" s="72"/>
      <c r="I1674" s="72"/>
      <c r="J1674" s="72"/>
    </row>
    <row r="1675" spans="1:10" ht="15" x14ac:dyDescent="0.2">
      <c r="A1675" s="72"/>
      <c r="B1675" s="72"/>
      <c r="C1675" s="72"/>
      <c r="D1675" s="72"/>
      <c r="E1675" s="72"/>
      <c r="F1675" s="72"/>
      <c r="G1675" s="72"/>
      <c r="H1675" s="72"/>
      <c r="I1675" s="72"/>
      <c r="J1675" s="72"/>
    </row>
    <row r="1676" spans="1:10" ht="15" x14ac:dyDescent="0.2">
      <c r="A1676" s="72"/>
      <c r="B1676" s="72"/>
      <c r="C1676" s="72"/>
      <c r="D1676" s="72"/>
      <c r="E1676" s="72"/>
      <c r="F1676" s="72"/>
      <c r="G1676" s="72"/>
      <c r="H1676" s="72"/>
      <c r="I1676" s="72"/>
      <c r="J1676" s="72"/>
    </row>
    <row r="1677" spans="1:10" ht="15" x14ac:dyDescent="0.2">
      <c r="A1677" s="72"/>
      <c r="B1677" s="72"/>
      <c r="C1677" s="72"/>
      <c r="D1677" s="72"/>
      <c r="E1677" s="72"/>
      <c r="F1677" s="72"/>
      <c r="G1677" s="72"/>
      <c r="H1677" s="72"/>
      <c r="I1677" s="72"/>
      <c r="J1677" s="72"/>
    </row>
    <row r="1678" spans="1:10" ht="15" x14ac:dyDescent="0.2">
      <c r="A1678" s="72"/>
      <c r="B1678" s="72"/>
      <c r="C1678" s="72"/>
      <c r="D1678" s="72"/>
      <c r="E1678" s="72"/>
      <c r="F1678" s="72"/>
      <c r="G1678" s="72"/>
      <c r="H1678" s="72"/>
      <c r="I1678" s="72"/>
      <c r="J1678" s="72"/>
    </row>
    <row r="1679" spans="1:10" ht="15" x14ac:dyDescent="0.2">
      <c r="A1679" s="72"/>
      <c r="B1679" s="72"/>
      <c r="C1679" s="72"/>
      <c r="D1679" s="72"/>
      <c r="E1679" s="72"/>
      <c r="F1679" s="72"/>
      <c r="G1679" s="72"/>
      <c r="H1679" s="72"/>
      <c r="I1679" s="72"/>
      <c r="J1679" s="72"/>
    </row>
    <row r="1680" spans="1:10" ht="15" x14ac:dyDescent="0.2">
      <c r="A1680" s="72"/>
      <c r="B1680" s="72"/>
      <c r="C1680" s="72"/>
      <c r="D1680" s="72"/>
      <c r="E1680" s="72"/>
      <c r="F1680" s="72"/>
      <c r="G1680" s="72"/>
      <c r="H1680" s="72"/>
      <c r="I1680" s="72"/>
      <c r="J1680" s="72"/>
    </row>
    <row r="1681" spans="1:10" ht="15" x14ac:dyDescent="0.2">
      <c r="A1681" s="72"/>
      <c r="B1681" s="72"/>
      <c r="C1681" s="72"/>
      <c r="D1681" s="72"/>
      <c r="E1681" s="72"/>
      <c r="F1681" s="72"/>
      <c r="G1681" s="72"/>
      <c r="H1681" s="72"/>
      <c r="I1681" s="72"/>
      <c r="J1681" s="72"/>
    </row>
    <row r="1682" spans="1:10" ht="15" x14ac:dyDescent="0.2">
      <c r="A1682" s="72"/>
      <c r="B1682" s="72"/>
      <c r="C1682" s="72"/>
      <c r="D1682" s="72"/>
      <c r="E1682" s="72"/>
      <c r="F1682" s="72"/>
      <c r="G1682" s="72"/>
      <c r="H1682" s="72"/>
      <c r="I1682" s="72"/>
      <c r="J1682" s="72"/>
    </row>
    <row r="1683" spans="1:10" ht="15" x14ac:dyDescent="0.2">
      <c r="A1683" s="72"/>
      <c r="B1683" s="72"/>
      <c r="C1683" s="72"/>
      <c r="D1683" s="72"/>
      <c r="E1683" s="72"/>
      <c r="F1683" s="72"/>
      <c r="G1683" s="72"/>
      <c r="H1683" s="72"/>
      <c r="I1683" s="72"/>
      <c r="J1683" s="72"/>
    </row>
    <row r="1684" spans="1:10" ht="15" x14ac:dyDescent="0.2">
      <c r="A1684" s="72"/>
      <c r="B1684" s="72"/>
      <c r="C1684" s="72"/>
      <c r="D1684" s="72"/>
      <c r="E1684" s="72"/>
      <c r="F1684" s="72"/>
      <c r="G1684" s="72"/>
      <c r="H1684" s="72"/>
      <c r="I1684" s="72"/>
      <c r="J1684" s="72"/>
    </row>
    <row r="1685" spans="1:10" ht="15" x14ac:dyDescent="0.2">
      <c r="A1685" s="72"/>
      <c r="B1685" s="72"/>
      <c r="C1685" s="72"/>
      <c r="D1685" s="72"/>
      <c r="E1685" s="72"/>
      <c r="F1685" s="72"/>
      <c r="G1685" s="72"/>
      <c r="H1685" s="72"/>
      <c r="I1685" s="72"/>
      <c r="J1685" s="72"/>
    </row>
  </sheetData>
  <pageMargins left="0.7" right="0.7" top="0.75" bottom="0.75" header="0.3" footer="0.3"/>
  <pageSetup paperSize="9" orientation="portrait" horizontalDpi="0"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T a b l e C o u n t I n S a n d b o x " > < C u s t o m C o n t e n t > < ! [ C D A T A [ 1 ] ] > < / 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14.xml>��< ? x m l   v e r s i o n = " 1 . 0 "   e n c o d i n g = " U T F - 1 6 " ? > < G e m i n i   x m l n s = " h t t p : / / g e m i n i / p i v o t c u s t o m i z a t i o n / I s S a n d b o x E m b e d d e d " > < C u s t o m C o n t e n t > < ! [ C D A T A [ y e s ] ] > < / C u s t o m C o n t e n t > < / G e m i n i > 
</file>

<file path=customXml/item15.xml>��< ? x m l   v e r s i o n = " 1 . 0 "   e n c o d i n g = " U T F - 1 6 " ? > < G e m i n i   x m l n s = " h t t p : / / g e m i n i / p i v o t c u s t o m i z a t i o n / C l i e n t W i n d o w X M L " > < C u s t o m C o n t e n t > < ! [ C D A T A [ T a b l e 1 ] ] > < / C u s t o m C o n t e n t > < / G e m i n i > 
</file>

<file path=customXml/item16.xml>��< ? x m l   v e r s i o n = " 1 . 0 "   e n c o d i n g = " U T F - 1 6 " ? > < G e m i n i   x m l n s = " h t t p : / / g e m i n i / p i v o t c u s t o m i z a t i o n / P o w e r P i v o t V e r s i o n " > < C u s t o m C o n t e n t > < ! [ C D A T A [ 1 1 . 0 . 9 1 6 6 . 1 8 8 ] ] > < / 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2.xml>��< ? x m l   v e r s i o n = " 1 . 0 "   e n c o d i n g = " U T F - 1 6 " ? > < G e m i n i   x m l n s = " h t t p : / / g e m i n i / p i v o t c u s t o m i z a t i o n / S a n d b o x N o n E m p t y " > < C u s t o m C o n t e n t > < ! [ C D A T A [ 1 ] ] > < / C u s t o m C o n t e n t > < / G e m i n i > 
</file>

<file path=customXml/item3.xml>��< ? x m l   v e r s i o n = " 1 . 0 "   e n c o d i n g = " U T F - 1 6 " ? > < G e m i n i   x m l n s = " h t t p : / / g e m i n i / p i v o t c u s t o m i z a t i o n / S h o w H i d d e n " > < C u s t o m C o n t e n t > < ! [ C D A T A [ T r u e ] ] > < / C u s t o m C o n t e n t > < / G e m i n i > 
</file>

<file path=customXml/item4.xml>��< ? x m l   v e r s i o n = " 1 . 0 "   e n c o d i n g = " U T F - 1 6 " ? > < G e m i n i   x m l n s = " h t t p : / / g e m i n i / p i v o t c u s t o m i z a t i o n / L i n k e d T a b l e U p d a t e M o d e " > < C u s t o m C o n t e n t > < ! [ C D A T A [ T r u e ] ] > < / C u s t o m C o n t e n t > < / G e m i n i > 
</file>

<file path=customXml/item5.xml>��< ? x m l   v e r s i o n = " 1 . 0 "   e n c o d i n g = " U T F - 1 6 " ? > < G e m i n i   x m l n s = " h t t p : / / g e m i n i / p i v o t c u s t o m i z a t i o n / M a n u a l C a l c M o d e " > < C u s t o m C o n t e n t > < ! [ C D A T A [ F a l s e ] ] > < / C u s t o m C o n t e n t > < / G e m i n i > 
</file>

<file path=customXml/item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T a b l e O r d e r " > < C u s t o m C o n t e n t > T a b l e 1 < / C u s t o m C o n t e n t > < / G e m i n i > 
</file>

<file path=customXml/itemProps1.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10.xml><?xml version="1.0" encoding="utf-8"?>
<ds:datastoreItem xmlns:ds="http://schemas.openxmlformats.org/officeDocument/2006/customXml" ds:itemID="{110ABE5C-6AFF-49FC-9F3F-29AFDCDD80DB}">
  <ds:schemaRefs>
    <ds:schemaRef ds:uri="http://gemini/pivotcustomization/TableCountInSandbox"/>
  </ds:schemaRefs>
</ds:datastoreItem>
</file>

<file path=customXml/itemProps11.xml><?xml version="1.0" encoding="utf-8"?>
<ds:datastoreItem xmlns:ds="http://schemas.openxmlformats.org/officeDocument/2006/customXml" ds:itemID="{6773EFD6-D913-4B49-B4C1-3038A601F144}">
  <ds:schemaRefs>
    <ds:schemaRef ds:uri="http://gemini/pivotcustomization/ShowImplicitMeasures"/>
  </ds:schemaRefs>
</ds:datastoreItem>
</file>

<file path=customXml/itemProps12.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13.xml><?xml version="1.0" encoding="utf-8"?>
<ds:datastoreItem xmlns:ds="http://schemas.openxmlformats.org/officeDocument/2006/customXml" ds:itemID="{AF6C041D-C5EF-48EF-8803-B23DAFDDB1AE}">
  <ds:schemaRefs>
    <ds:schemaRef ds:uri="http://gemini/pivotcustomization/Diagrams"/>
  </ds:schemaRefs>
</ds:datastoreItem>
</file>

<file path=customXml/itemProps14.xml><?xml version="1.0" encoding="utf-8"?>
<ds:datastoreItem xmlns:ds="http://schemas.openxmlformats.org/officeDocument/2006/customXml" ds:itemID="{A21A3BC1-6951-472B-A2EE-CCC2B7A3EA6B}">
  <ds:schemaRefs/>
</ds:datastoreItem>
</file>

<file path=customXml/itemProps15.xml><?xml version="1.0" encoding="utf-8"?>
<ds:datastoreItem xmlns:ds="http://schemas.openxmlformats.org/officeDocument/2006/customXml" ds:itemID="{F5A3C41F-8B32-40FA-A81E-C73F1904B030}">
  <ds:schemaRefs>
    <ds:schemaRef ds:uri="http://gemini/pivotcustomization/ClientWindowXML"/>
  </ds:schemaRefs>
</ds:datastoreItem>
</file>

<file path=customXml/itemProps16.xml><?xml version="1.0" encoding="utf-8"?>
<ds:datastoreItem xmlns:ds="http://schemas.openxmlformats.org/officeDocument/2006/customXml" ds:itemID="{6F56B467-C743-420E-89ED-6745F6A4B70B}">
  <ds:schemaRefs/>
</ds:datastoreItem>
</file>

<file path=customXml/itemProps17.xml><?xml version="1.0" encoding="utf-8"?>
<ds:datastoreItem xmlns:ds="http://schemas.openxmlformats.org/officeDocument/2006/customXml" ds:itemID="{C320B382-AAED-4159-A304-00FF657D7954}">
  <ds:schemaRefs/>
</ds:datastoreItem>
</file>

<file path=customXml/itemProps18.xml><?xml version="1.0" encoding="utf-8"?>
<ds:datastoreItem xmlns:ds="http://schemas.openxmlformats.org/officeDocument/2006/customXml" ds:itemID="{5E408239-B2E4-4FD9-8B1C-020866B82B72}">
  <ds:schemaRefs/>
</ds:datastoreItem>
</file>

<file path=customXml/itemProps2.xml><?xml version="1.0" encoding="utf-8"?>
<ds:datastoreItem xmlns:ds="http://schemas.openxmlformats.org/officeDocument/2006/customXml" ds:itemID="{BB33A5B0-9B30-4EC1-B196-AA0C08779EB0}">
  <ds:schemaRefs/>
</ds:datastoreItem>
</file>

<file path=customXml/itemProps3.xml><?xml version="1.0" encoding="utf-8"?>
<ds:datastoreItem xmlns:ds="http://schemas.openxmlformats.org/officeDocument/2006/customXml" ds:itemID="{176CEB72-EE98-4849-BA7A-265FD178663A}">
  <ds:schemaRefs>
    <ds:schemaRef ds:uri="http://gemini/pivotcustomization/ShowHidden"/>
  </ds:schemaRefs>
</ds:datastoreItem>
</file>

<file path=customXml/itemProps4.xml><?xml version="1.0" encoding="utf-8"?>
<ds:datastoreItem xmlns:ds="http://schemas.openxmlformats.org/officeDocument/2006/customXml" ds:itemID="{E8509290-1D31-454C-ABE9-597B7BC26FF2}">
  <ds:schemaRefs>
    <ds:schemaRef ds:uri="http://gemini/pivotcustomization/LinkedTableUpdateMode"/>
  </ds:schemaRefs>
</ds:datastoreItem>
</file>

<file path=customXml/itemProps5.xml><?xml version="1.0" encoding="utf-8"?>
<ds:datastoreItem xmlns:ds="http://schemas.openxmlformats.org/officeDocument/2006/customXml" ds:itemID="{581EE562-5F7F-4099-8FD8-896D8134E32C}">
  <ds:schemaRefs>
    <ds:schemaRef ds:uri="http://gemini/pivotcustomization/ManualCalcMode"/>
  </ds:schemaRefs>
</ds:datastoreItem>
</file>

<file path=customXml/itemProps6.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7.xml><?xml version="1.0" encoding="utf-8"?>
<ds:datastoreItem xmlns:ds="http://schemas.openxmlformats.org/officeDocument/2006/customXml" ds:itemID="{4EFEA8F8-79F4-471A-AA5A-5624A6C1632E}">
  <ds:schemaRefs/>
</ds:datastoreItem>
</file>

<file path=customXml/itemProps8.xml><?xml version="1.0" encoding="utf-8"?>
<ds:datastoreItem xmlns:ds="http://schemas.openxmlformats.org/officeDocument/2006/customXml" ds:itemID="{632494E3-8034-4AA9-8C70-7ED600066978}">
  <ds:schemaRefs>
    <ds:schemaRef ds:uri="http://gemini/pivotcustomization/MeasureGridState"/>
  </ds:schemaRefs>
</ds:datastoreItem>
</file>

<file path=customXml/itemProps9.xml><?xml version="1.0" encoding="utf-8"?>
<ds:datastoreItem xmlns:ds="http://schemas.openxmlformats.org/officeDocument/2006/customXml" ds:itemID="{9E2D3966-F91F-49BB-ACE1-431B53104A6E}">
  <ds:schemaRefs>
    <ds:schemaRef ds:uri="http://gemini/pivotcustomization/TableOrder"/>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Introduction</vt:lpstr>
      <vt:lpstr>Instructions</vt:lpstr>
      <vt:lpstr>HECVAT</vt:lpstr>
      <vt:lpstr>Standards Crosswalk</vt:lpstr>
      <vt:lpstr>Analyst Report</vt:lpstr>
      <vt:lpstr>Summary Report</vt:lpstr>
      <vt:lpstr>Crosswalk Detail</vt:lpstr>
      <vt:lpstr>Questions</vt:lpstr>
      <vt:lpstr>High Risk Non-Compliant</vt:lpstr>
      <vt:lpstr>Acknowledgments</vt:lpstr>
      <vt:lpstr>ChangeLog</vt:lpstr>
      <vt:lpstr>Values</vt:lpstr>
      <vt:lpstr>Instructions!_ftn1</vt:lpstr>
      <vt:lpstr>Instructions!_ftnref1</vt:lpstr>
      <vt:lpstr>dr</vt:lpstr>
      <vt:lpstr>drpt</vt:lpstr>
      <vt:lpstr>sharedassessments</vt:lpstr>
      <vt:lpstr>sharedassessmentslisting</vt:lpstr>
      <vt:lpstr>uptime</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Bryner, Bruce A</dc:creator>
  <cp:lastModifiedBy>Cesar Pastore</cp:lastModifiedBy>
  <cp:revision/>
  <dcterms:created xsi:type="dcterms:W3CDTF">2015-03-06T14:56:12Z</dcterms:created>
  <dcterms:modified xsi:type="dcterms:W3CDTF">2019-10-07T20:33:57Z</dcterms:modified>
</cp:coreProperties>
</file>